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defaultThemeVersion="124226"/>
  <mc:AlternateContent xmlns:mc="http://schemas.openxmlformats.org/markup-compatibility/2006">
    <mc:Choice Requires="x15">
      <x15ac:absPath xmlns:x15ac="http://schemas.microsoft.com/office/spreadsheetml/2010/11/ac" url="C:\Users\hosaka.daisuke\Desktop\⑦R8-R9定期申請\①要領・申請書\03_物品\"/>
    </mc:Choice>
  </mc:AlternateContent>
  <xr:revisionPtr revIDLastSave="0" documentId="13_ncr:1_{5814A282-60C2-4B48-832B-903A6BBC8C85}" xr6:coauthVersionLast="47" xr6:coauthVersionMax="47" xr10:uidLastSave="{00000000-0000-0000-0000-000000000000}"/>
  <bookViews>
    <workbookView xWindow="-120" yWindow="-120" windowWidth="29040" windowHeight="15720" tabRatio="709" activeTab="1" xr2:uid="{00000000-000D-0000-FFFF-FFFF00000000}"/>
  </bookViews>
  <sheets>
    <sheet name="第１号様式" sheetId="25" r:id="rId1"/>
    <sheet name="別紙１" sheetId="6" r:id="rId2"/>
    <sheet name="別紙２" sheetId="5" r:id="rId3"/>
    <sheet name="別紙4-1（物品）" sheetId="30" r:id="rId4"/>
    <sheet name="別紙4-2（役務）" sheetId="33" r:id="rId5"/>
    <sheet name="別紙4-3（賃貸借）" sheetId="34" r:id="rId6"/>
    <sheet name="別紙５" sheetId="31" r:id="rId7"/>
  </sheets>
  <externalReferences>
    <externalReference r:id="rId8"/>
    <externalReference r:id="rId9"/>
  </externalReferences>
  <definedNames>
    <definedName name="_xlnm._FilterDatabase" localSheetId="0" hidden="1">第１号様式!$B$33:$AC$51</definedName>
    <definedName name="_xlnm._FilterDatabase" localSheetId="3" hidden="1">'別紙4-1（物品）'!$T$1:$T$184</definedName>
    <definedName name="_xlnm._FilterDatabase" localSheetId="4" hidden="1">'別紙4-2（役務）'!$T$1:$T$59</definedName>
    <definedName name="_xlnm._FilterDatabase" localSheetId="5" hidden="1">'別紙4-3（賃貸借）'!$T$1:$T$7</definedName>
    <definedName name="_xlnm.Print_Area" localSheetId="0">第１号様式!$A$1:$AC$44</definedName>
    <definedName name="_xlnm.Print_Area" localSheetId="1">別紙１!$A$1:$Z$53</definedName>
    <definedName name="_xlnm.Print_Area" localSheetId="2">別紙２!$A$1:$AE$40</definedName>
    <definedName name="_xlnm.Print_Area" localSheetId="3">'別紙4-1（物品）'!$A$1:$Q$183</definedName>
    <definedName name="_xlnm.Print_Area" localSheetId="4">'別紙4-2（役務）'!$A$1:$Q$58</definedName>
    <definedName name="_xlnm.Print_Area" localSheetId="5">'別紙4-3（賃貸借）'!$A$1:$Q$7</definedName>
    <definedName name="_xlnm.Print_Area" localSheetId="6">別紙５!$A$1:$AF$14</definedName>
    <definedName name="_xlnm.Print_Titles" localSheetId="3">'別紙4-1（物品）'!$1:$2</definedName>
    <definedName name="_xlnm.Print_Titles" localSheetId="4">'別紙4-2（役務）'!$1:$2</definedName>
    <definedName name="_xlnm.Print_Titles" localSheetId="5">'別紙4-3（賃貸借）'!$1:$2</definedName>
    <definedName name="市町村コード取得" localSheetId="0">#REF!</definedName>
    <definedName name="市町村コード取得" localSheetId="3">'[1]第１号様式　別紙１'!#REF!</definedName>
    <definedName name="市町村コード取得" localSheetId="4">'[1]第１号様式　別紙１'!#REF!</definedName>
    <definedName name="市町村コード取得" localSheetId="5">'[1]第１号様式　別紙１'!#REF!</definedName>
    <definedName name="市町村コード取得" localSheetId="6">'[2]第１号様式　別紙１'!#REF!</definedName>
    <definedName name="市町村コード取得">#REF!</definedName>
    <definedName name="代理人" localSheetId="6">#REF!</definedName>
    <definedName name="代理人">別紙２!$AK$4:$AK$5</definedName>
    <definedName name="代理人の有無" localSheetId="6">#REF!</definedName>
    <definedName name="代理人の有無">別紙２!$AK$3:$AK$5</definedName>
    <definedName name="代理人を置かない" localSheetId="6">#REF!</definedName>
    <definedName name="代理人を置かない">別紙２!$AM$4:$AM$5</definedName>
    <definedName name="代理人を置く" localSheetId="6">#REF!</definedName>
    <definedName name="代理人を置く">別紙２!$AL$4</definedName>
    <definedName name="置かない" localSheetId="6">#REF!</definedName>
    <definedName name="置かない">別紙２!$AL$21:$AL$23</definedName>
    <definedName name="置く" localSheetId="6">#REF!</definedName>
    <definedName name="置く">別紙２!$AK$21:$AK$22</definedName>
    <definedName name="中分類コード" localSheetId="0">第１号様式!$AH$34:$AH$67</definedName>
    <definedName name="中分類コード" localSheetId="3">#REF!</definedName>
    <definedName name="中分類コード" localSheetId="4">#REF!</definedName>
    <definedName name="中分類コード" localSheetId="5">#REF!</definedName>
    <definedName name="中分類コード" localSheetId="6">#REF!</definedName>
    <definedName name="中分類コード">#REF!</definedName>
    <definedName name="中分類コード表" localSheetId="0">第１号様式!$AH$34:$AI$68</definedName>
    <definedName name="中分類コード表" localSheetId="3">#REF!</definedName>
    <definedName name="中分類コード表" localSheetId="4">#REF!</definedName>
    <definedName name="中分類コード表" localSheetId="5">#REF!</definedName>
    <definedName name="中分類コード表" localSheetId="6">#REF!</definedName>
    <definedName name="中分類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4" i="33" l="1"/>
  <c r="R54" i="33"/>
  <c r="U53" i="33"/>
  <c r="T53" i="33"/>
  <c r="V52" i="33"/>
  <c r="U52" i="33"/>
  <c r="T52" i="33"/>
  <c r="V51" i="33"/>
  <c r="U51" i="33"/>
  <c r="T51" i="33"/>
  <c r="T30" i="33" l="1"/>
  <c r="R30" i="33"/>
  <c r="U28" i="33"/>
  <c r="V27" i="33"/>
  <c r="U27" i="33"/>
  <c r="T27" i="33"/>
  <c r="T18" i="33"/>
  <c r="R18" i="33"/>
  <c r="V16" i="33"/>
  <c r="U16" i="33"/>
  <c r="T16" i="33"/>
  <c r="V15" i="33"/>
  <c r="U15" i="33"/>
  <c r="T15" i="33"/>
  <c r="T14" i="33"/>
  <c r="R14" i="33"/>
  <c r="V12" i="33"/>
  <c r="U12" i="33"/>
  <c r="T12" i="33"/>
  <c r="V11" i="33"/>
  <c r="U11" i="33"/>
  <c r="T11" i="33"/>
  <c r="M41" i="25"/>
  <c r="M38" i="25"/>
  <c r="M39" i="25"/>
  <c r="M40" i="25"/>
  <c r="M37" i="25"/>
  <c r="V40" i="25"/>
  <c r="V38" i="25"/>
  <c r="V39" i="25"/>
  <c r="V37" i="25"/>
  <c r="T6" i="34"/>
  <c r="R6" i="34"/>
  <c r="U4" i="34"/>
  <c r="T4" i="34"/>
  <c r="V3" i="34"/>
  <c r="U3" i="34"/>
  <c r="T3" i="34"/>
  <c r="T58" i="33"/>
  <c r="R58" i="33"/>
  <c r="U55" i="33"/>
  <c r="T55" i="33"/>
  <c r="T50" i="33"/>
  <c r="R50" i="33"/>
  <c r="U49" i="33"/>
  <c r="T49" i="33"/>
  <c r="V48" i="33"/>
  <c r="U48" i="33"/>
  <c r="T48" i="33"/>
  <c r="V47" i="33"/>
  <c r="U47" i="33"/>
  <c r="T47" i="33"/>
  <c r="T46" i="33"/>
  <c r="R46" i="33"/>
  <c r="V45" i="33"/>
  <c r="U45" i="33"/>
  <c r="T45" i="33"/>
  <c r="V43" i="33"/>
  <c r="U43" i="33"/>
  <c r="T43" i="33"/>
  <c r="T42" i="33"/>
  <c r="R42" i="33"/>
  <c r="U39" i="33"/>
  <c r="T39" i="33"/>
  <c r="T38" i="33"/>
  <c r="R38" i="33"/>
  <c r="V35" i="33"/>
  <c r="U35" i="33"/>
  <c r="T35" i="33"/>
  <c r="T34" i="33"/>
  <c r="R34" i="33"/>
  <c r="V33" i="33"/>
  <c r="U33" i="33"/>
  <c r="T33" i="33"/>
  <c r="V31" i="33"/>
  <c r="U31" i="33"/>
  <c r="T31" i="33"/>
  <c r="T26" i="33"/>
  <c r="R26" i="33"/>
  <c r="U24" i="33"/>
  <c r="V23" i="33"/>
  <c r="U23" i="33"/>
  <c r="T23" i="33"/>
  <c r="T22" i="33"/>
  <c r="R22" i="33"/>
  <c r="V20" i="33"/>
  <c r="U20" i="33"/>
  <c r="T20" i="33"/>
  <c r="V19" i="33"/>
  <c r="U19" i="33"/>
  <c r="T19" i="33"/>
  <c r="T10" i="33"/>
  <c r="R10" i="33"/>
  <c r="T9" i="33"/>
  <c r="V8" i="33"/>
  <c r="U8" i="33"/>
  <c r="T8" i="33"/>
  <c r="V7" i="33"/>
  <c r="U7" i="33"/>
  <c r="T7" i="33"/>
  <c r="T6" i="33"/>
  <c r="R6" i="33"/>
  <c r="U4" i="33"/>
  <c r="T4" i="33"/>
  <c r="V3" i="33"/>
  <c r="U3" i="33"/>
  <c r="T3" i="33"/>
  <c r="AB50" i="6" l="1"/>
  <c r="AB49" i="6"/>
  <c r="AB48" i="6"/>
  <c r="AB47" i="6"/>
  <c r="Q1" i="31" l="1"/>
  <c r="L13" i="31" l="1"/>
  <c r="H13" i="31"/>
  <c r="L11" i="31"/>
  <c r="H11" i="31"/>
  <c r="L8" i="31"/>
  <c r="H8" i="31"/>
  <c r="L5" i="31"/>
  <c r="H5" i="31"/>
  <c r="AD9" i="6" l="1"/>
  <c r="AB9" i="6"/>
  <c r="R183" i="30" l="1"/>
  <c r="R179" i="30"/>
  <c r="R175" i="30"/>
  <c r="R171" i="30"/>
  <c r="R167" i="30"/>
  <c r="R163" i="30"/>
  <c r="R159" i="30"/>
  <c r="R155" i="30"/>
  <c r="R151" i="30"/>
  <c r="R147" i="30"/>
  <c r="R143" i="30"/>
  <c r="R139" i="30"/>
  <c r="R135" i="30"/>
  <c r="R131" i="30"/>
  <c r="R127" i="30"/>
  <c r="R123" i="30"/>
  <c r="R119" i="30"/>
  <c r="R115" i="30"/>
  <c r="R111" i="30"/>
  <c r="R107" i="30"/>
  <c r="R103" i="30"/>
  <c r="R99" i="30"/>
  <c r="R95" i="30"/>
  <c r="R91" i="30"/>
  <c r="R87" i="30"/>
  <c r="R11" i="30"/>
  <c r="T183" i="30" l="1"/>
  <c r="U180" i="30"/>
  <c r="T180" i="30"/>
  <c r="T179" i="30"/>
  <c r="V176" i="30"/>
  <c r="U176" i="30"/>
  <c r="T176" i="30"/>
  <c r="T175" i="30"/>
  <c r="U173" i="30"/>
  <c r="T173" i="30"/>
  <c r="V172" i="30"/>
  <c r="U172" i="30"/>
  <c r="T172" i="30"/>
  <c r="T171" i="30"/>
  <c r="V170" i="30"/>
  <c r="U170" i="30"/>
  <c r="T170" i="30"/>
  <c r="V169" i="30"/>
  <c r="U169" i="30"/>
  <c r="T169" i="30"/>
  <c r="V168" i="30"/>
  <c r="U168" i="30"/>
  <c r="T168" i="30"/>
  <c r="T167" i="30"/>
  <c r="V166" i="30"/>
  <c r="U166" i="30"/>
  <c r="T166" i="30"/>
  <c r="V165" i="30"/>
  <c r="U165" i="30"/>
  <c r="T165" i="30"/>
  <c r="V164" i="30"/>
  <c r="U164" i="30"/>
  <c r="T164" i="30"/>
  <c r="T163" i="30"/>
  <c r="V162" i="30"/>
  <c r="U162" i="30"/>
  <c r="T162" i="30"/>
  <c r="V161" i="30"/>
  <c r="U161" i="30"/>
  <c r="T161" i="30"/>
  <c r="V160" i="30"/>
  <c r="U160" i="30"/>
  <c r="T160" i="30"/>
  <c r="T159" i="30"/>
  <c r="V158" i="30"/>
  <c r="U158" i="30"/>
  <c r="T158" i="30"/>
  <c r="V157" i="30"/>
  <c r="U157" i="30"/>
  <c r="T157" i="30"/>
  <c r="V156" i="30"/>
  <c r="U156" i="30"/>
  <c r="T156" i="30"/>
  <c r="T155" i="30"/>
  <c r="V153" i="30"/>
  <c r="U153" i="30"/>
  <c r="T153" i="30"/>
  <c r="V152" i="30"/>
  <c r="U152" i="30"/>
  <c r="T152" i="30"/>
  <c r="T151" i="30"/>
  <c r="T149" i="30"/>
  <c r="V148" i="30"/>
  <c r="U148" i="30"/>
  <c r="T148" i="30"/>
  <c r="T147" i="30"/>
  <c r="T146" i="30"/>
  <c r="V145" i="30"/>
  <c r="U145" i="30"/>
  <c r="T145" i="30"/>
  <c r="V144" i="30"/>
  <c r="U144" i="30"/>
  <c r="T144" i="30"/>
  <c r="T143" i="30"/>
  <c r="U140" i="30"/>
  <c r="T140" i="30"/>
  <c r="T139" i="30"/>
  <c r="V137" i="30"/>
  <c r="U137" i="30"/>
  <c r="T137" i="30"/>
  <c r="V136" i="30"/>
  <c r="U136" i="30"/>
  <c r="T136" i="30"/>
  <c r="T135" i="30"/>
  <c r="V133" i="30"/>
  <c r="U133" i="30"/>
  <c r="T133" i="30"/>
  <c r="V132" i="30"/>
  <c r="U132" i="30"/>
  <c r="T132" i="30"/>
  <c r="T131" i="30"/>
  <c r="U128" i="30"/>
  <c r="T128" i="30"/>
  <c r="T127" i="30"/>
  <c r="U125" i="30"/>
  <c r="T125" i="30"/>
  <c r="V124" i="30"/>
  <c r="U124" i="30"/>
  <c r="T124" i="30"/>
  <c r="T123" i="30"/>
  <c r="V122" i="30"/>
  <c r="U122" i="30"/>
  <c r="T122" i="30"/>
  <c r="V121" i="30"/>
  <c r="U121" i="30"/>
  <c r="T121" i="30"/>
  <c r="V120" i="30"/>
  <c r="U120" i="30"/>
  <c r="T120" i="30"/>
  <c r="T119" i="30"/>
  <c r="U117" i="30"/>
  <c r="T117" i="30"/>
  <c r="V116" i="30"/>
  <c r="U116" i="30"/>
  <c r="T116" i="30"/>
  <c r="T115" i="30"/>
  <c r="U114" i="30"/>
  <c r="T114" i="30"/>
  <c r="V113" i="30"/>
  <c r="U113" i="30"/>
  <c r="T113" i="30"/>
  <c r="V112" i="30"/>
  <c r="U112" i="30"/>
  <c r="T112" i="30"/>
  <c r="T111" i="30"/>
  <c r="T110" i="30"/>
  <c r="V109" i="30"/>
  <c r="U109" i="30"/>
  <c r="T109" i="30"/>
  <c r="V108" i="30"/>
  <c r="U108" i="30"/>
  <c r="T108" i="30"/>
  <c r="T107" i="30"/>
  <c r="V106" i="30"/>
  <c r="U106" i="30"/>
  <c r="T106" i="30"/>
  <c r="V105" i="30"/>
  <c r="U105" i="30"/>
  <c r="T105" i="30"/>
  <c r="V104" i="30"/>
  <c r="U104" i="30"/>
  <c r="T104" i="30"/>
  <c r="T103" i="30"/>
  <c r="U102" i="30"/>
  <c r="T102" i="30"/>
  <c r="V101" i="30"/>
  <c r="U101" i="30"/>
  <c r="T101" i="30"/>
  <c r="V100" i="30"/>
  <c r="U100" i="30"/>
  <c r="T100" i="30"/>
  <c r="T99" i="30"/>
  <c r="V98" i="30"/>
  <c r="U98" i="30"/>
  <c r="T98" i="30"/>
  <c r="V97" i="30"/>
  <c r="U97" i="30"/>
  <c r="T97" i="30"/>
  <c r="V96" i="30"/>
  <c r="U96" i="30"/>
  <c r="T96" i="30"/>
  <c r="T95" i="30"/>
  <c r="V94" i="30"/>
  <c r="U94" i="30"/>
  <c r="T94" i="30"/>
  <c r="V93" i="30"/>
  <c r="U93" i="30"/>
  <c r="T93" i="30"/>
  <c r="V92" i="30"/>
  <c r="U92" i="30"/>
  <c r="T92" i="30"/>
  <c r="T91" i="30"/>
  <c r="V89" i="30"/>
  <c r="U89" i="30"/>
  <c r="T89" i="30"/>
  <c r="V88" i="30"/>
  <c r="U88" i="30"/>
  <c r="T88" i="30"/>
  <c r="T87" i="30"/>
  <c r="V85" i="30"/>
  <c r="U85" i="30"/>
  <c r="T85" i="30"/>
  <c r="V84" i="30"/>
  <c r="U84" i="30"/>
  <c r="T84" i="30"/>
  <c r="T83" i="30"/>
  <c r="R83" i="30"/>
  <c r="V82" i="30"/>
  <c r="U82" i="30"/>
  <c r="T82" i="30"/>
  <c r="V81" i="30"/>
  <c r="U81" i="30"/>
  <c r="T81" i="30"/>
  <c r="V80" i="30"/>
  <c r="U80" i="30"/>
  <c r="T80" i="30"/>
  <c r="T79" i="30"/>
  <c r="R79" i="30"/>
  <c r="V78" i="30"/>
  <c r="U78" i="30"/>
  <c r="T78" i="30"/>
  <c r="V77" i="30"/>
  <c r="U77" i="30"/>
  <c r="T77" i="30"/>
  <c r="V76" i="30"/>
  <c r="U76" i="30"/>
  <c r="T76" i="30"/>
  <c r="T75" i="30"/>
  <c r="R75" i="30"/>
  <c r="V73" i="30"/>
  <c r="U73" i="30"/>
  <c r="T73" i="30"/>
  <c r="V72" i="30"/>
  <c r="U72" i="30"/>
  <c r="T72" i="30"/>
  <c r="T71" i="30"/>
  <c r="R71" i="30"/>
  <c r="V70" i="30"/>
  <c r="U70" i="30"/>
  <c r="T70" i="30"/>
  <c r="V69" i="30"/>
  <c r="U69" i="30"/>
  <c r="T69" i="30"/>
  <c r="V68" i="30"/>
  <c r="U68" i="30"/>
  <c r="T68" i="30"/>
  <c r="T67" i="30"/>
  <c r="R67" i="30"/>
  <c r="U66" i="30"/>
  <c r="T66" i="30"/>
  <c r="V65" i="30"/>
  <c r="U65" i="30"/>
  <c r="T65" i="30"/>
  <c r="V64" i="30"/>
  <c r="U64" i="30"/>
  <c r="T64" i="30"/>
  <c r="T63" i="30"/>
  <c r="R63" i="30"/>
  <c r="V62" i="30"/>
  <c r="U62" i="30"/>
  <c r="T62" i="30"/>
  <c r="V61" i="30"/>
  <c r="U61" i="30"/>
  <c r="T61" i="30"/>
  <c r="V60" i="30"/>
  <c r="U60" i="30"/>
  <c r="T60" i="30"/>
  <c r="T59" i="30"/>
  <c r="R59" i="30"/>
  <c r="V57" i="30"/>
  <c r="U57" i="30"/>
  <c r="T57" i="30"/>
  <c r="V56" i="30"/>
  <c r="U56" i="30"/>
  <c r="T56" i="30"/>
  <c r="T55" i="30"/>
  <c r="R55" i="30"/>
  <c r="U53" i="30"/>
  <c r="T53" i="30"/>
  <c r="V52" i="30"/>
  <c r="U52" i="30"/>
  <c r="T52" i="30"/>
  <c r="T51" i="30"/>
  <c r="R51" i="30"/>
  <c r="V50" i="30"/>
  <c r="U50" i="30"/>
  <c r="T50" i="30"/>
  <c r="V49" i="30"/>
  <c r="U49" i="30"/>
  <c r="T49" i="30"/>
  <c r="V48" i="30"/>
  <c r="U48" i="30"/>
  <c r="T48" i="30"/>
  <c r="T47" i="30"/>
  <c r="R47" i="30"/>
  <c r="V46" i="30"/>
  <c r="U46" i="30"/>
  <c r="T46" i="30"/>
  <c r="V45" i="30"/>
  <c r="U45" i="30"/>
  <c r="T45" i="30"/>
  <c r="V44" i="30"/>
  <c r="U44" i="30"/>
  <c r="T44" i="30"/>
  <c r="T43" i="30"/>
  <c r="R43" i="30"/>
  <c r="U42" i="30"/>
  <c r="T42" i="30"/>
  <c r="V41" i="30"/>
  <c r="U41" i="30"/>
  <c r="T41" i="30"/>
  <c r="V40" i="30"/>
  <c r="U40" i="30"/>
  <c r="T40" i="30"/>
  <c r="T39" i="30"/>
  <c r="R39" i="30"/>
  <c r="V38" i="30"/>
  <c r="U38" i="30"/>
  <c r="T38" i="30"/>
  <c r="V37" i="30"/>
  <c r="U37" i="30"/>
  <c r="T37" i="30"/>
  <c r="V36" i="30"/>
  <c r="U36" i="30"/>
  <c r="T36" i="30"/>
  <c r="T35" i="30"/>
  <c r="R35" i="30"/>
  <c r="U32" i="30"/>
  <c r="T32" i="30"/>
  <c r="T31" i="30"/>
  <c r="R31" i="30"/>
  <c r="U28" i="30"/>
  <c r="T28" i="30"/>
  <c r="T27" i="30"/>
  <c r="R27" i="30"/>
  <c r="U25" i="30"/>
  <c r="T25" i="30"/>
  <c r="V24" i="30"/>
  <c r="U24" i="30"/>
  <c r="T24" i="30"/>
  <c r="T23" i="30"/>
  <c r="R23" i="30"/>
  <c r="V22" i="30"/>
  <c r="U22" i="30"/>
  <c r="T22" i="30"/>
  <c r="V21" i="30"/>
  <c r="U21" i="30"/>
  <c r="T21" i="30"/>
  <c r="V20" i="30"/>
  <c r="U20" i="30"/>
  <c r="T20" i="30"/>
  <c r="T19" i="30"/>
  <c r="R19" i="30"/>
  <c r="U18" i="30"/>
  <c r="U17" i="30"/>
  <c r="T17" i="30"/>
  <c r="V16" i="30"/>
  <c r="U16" i="30"/>
  <c r="T16" i="30"/>
  <c r="T15" i="30"/>
  <c r="R15" i="30"/>
  <c r="V14" i="30"/>
  <c r="U14" i="30"/>
  <c r="T14" i="30"/>
  <c r="V13" i="30"/>
  <c r="U13" i="30"/>
  <c r="T13" i="30"/>
  <c r="V12" i="30"/>
  <c r="U12" i="30"/>
  <c r="T12" i="30"/>
  <c r="T11" i="30"/>
  <c r="T10" i="30"/>
  <c r="V9" i="30"/>
  <c r="U9" i="30"/>
  <c r="T9" i="30"/>
  <c r="V8" i="30"/>
  <c r="U8" i="30"/>
  <c r="T8" i="30"/>
  <c r="V7" i="30"/>
  <c r="U7" i="30"/>
  <c r="T7" i="30"/>
  <c r="T6" i="30"/>
  <c r="R6" i="30"/>
  <c r="U4" i="30"/>
  <c r="T4" i="30"/>
  <c r="V3" i="30"/>
  <c r="U3" i="30"/>
  <c r="T3" i="30"/>
  <c r="AG22" i="5"/>
  <c r="AG4" i="5"/>
  <c r="AB27" i="6"/>
  <c r="AB26" i="6"/>
  <c r="AB25" i="6"/>
  <c r="AB24" i="6"/>
  <c r="AB23" i="6"/>
  <c r="AB22" i="6"/>
  <c r="AB21" i="6"/>
  <c r="AB20" i="6"/>
  <c r="AE27" i="25"/>
  <c r="Z25" i="25" l="1"/>
  <c r="R1" i="5"/>
  <c r="L1" i="6"/>
  <c r="AE7" i="25"/>
  <c r="X41" i="25" l="1"/>
  <c r="AB17" i="6" l="1"/>
  <c r="AB18" i="6"/>
  <c r="AB19" i="6"/>
  <c r="AD22" i="6"/>
  <c r="AD23" i="6"/>
  <c r="AD24" i="6"/>
  <c r="AD25" i="6"/>
  <c r="AD26" i="6"/>
  <c r="AD27" i="6"/>
  <c r="AB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7" authorId="0" shapeId="0" xr:uid="{00000000-0006-0000-0000-000002000000}">
      <text>
        <r>
          <rPr>
            <sz val="9"/>
            <color indexed="81"/>
            <rFont val="MS P ゴシック"/>
            <family val="3"/>
            <charset val="128"/>
          </rPr>
          <t>セル右側のプルダウンボタンから
「新規」又は「継続」を選択してください。</t>
        </r>
      </text>
    </comment>
    <comment ref="H20" authorId="0" shapeId="0" xr:uid="{00000000-0006-0000-0000-000004000000}">
      <text>
        <r>
          <rPr>
            <sz val="9"/>
            <color indexed="81"/>
            <rFont val="MS P ゴシック"/>
            <family val="3"/>
            <charset val="128"/>
          </rPr>
          <t xml:space="preserve">ひらがなで入力してください。
</t>
        </r>
        <r>
          <rPr>
            <b/>
            <sz val="9"/>
            <color indexed="81"/>
            <rFont val="MS P ゴシック"/>
            <family val="3"/>
            <charset val="128"/>
          </rPr>
          <t>法人種別（株式会社等）のふりがなは不要です。</t>
        </r>
        <r>
          <rPr>
            <sz val="9"/>
            <color indexed="81"/>
            <rFont val="MS P ゴシック"/>
            <family val="3"/>
            <charset val="128"/>
          </rPr>
          <t xml:space="preserve">
【良い例】にいがたしょうじ
【悪い例】かぶしきがいしゃ にいがたしょうじ</t>
        </r>
      </text>
    </comment>
    <comment ref="H21" authorId="0" shapeId="0" xr:uid="{00000000-0006-0000-0000-000005000000}">
      <text>
        <r>
          <rPr>
            <sz val="9"/>
            <color indexed="81"/>
            <rFont val="MS P ゴシック"/>
            <family val="3"/>
            <charset val="128"/>
          </rPr>
          <t xml:space="preserve">すべて全角で入力してください。
</t>
        </r>
        <r>
          <rPr>
            <b/>
            <sz val="9"/>
            <color indexed="81"/>
            <rFont val="MS P ゴシック"/>
            <family val="3"/>
            <charset val="128"/>
          </rPr>
          <t>法人種別は略号を使用してください。［（株）（有）など］</t>
        </r>
        <r>
          <rPr>
            <sz val="9"/>
            <color indexed="81"/>
            <rFont val="MS P ゴシック"/>
            <family val="3"/>
            <charset val="128"/>
          </rPr>
          <t xml:space="preserve">
※カッコも含め全て全角
【良い例】（株）新潟商事
【悪い例】株式会社新潟商事、㈱新潟商事</t>
        </r>
      </text>
    </comment>
    <comment ref="J22" authorId="0" shapeId="0" xr:uid="{00000000-0006-0000-0000-000006000000}">
      <text>
        <r>
          <rPr>
            <sz val="9"/>
            <color indexed="81"/>
            <rFont val="MS P ゴシック"/>
            <family val="3"/>
            <charset val="128"/>
          </rPr>
          <t>個人事業主の場合は、空欄としてください。</t>
        </r>
      </text>
    </comment>
    <comment ref="R22" authorId="0" shapeId="0" xr:uid="{00000000-0006-0000-0000-000007000000}">
      <text>
        <r>
          <rPr>
            <sz val="9"/>
            <color indexed="81"/>
            <rFont val="MS P ゴシック"/>
            <family val="3"/>
            <charset val="128"/>
          </rPr>
          <t>氏と名の間にスペースを入力してください。</t>
        </r>
      </text>
    </comment>
    <comment ref="H23" authorId="0" shapeId="0" xr:uid="{00000000-0006-0000-0000-000008000000}">
      <text>
        <r>
          <rPr>
            <sz val="9"/>
            <color indexed="81"/>
            <rFont val="MS P ゴシック"/>
            <family val="3"/>
            <charset val="128"/>
          </rPr>
          <t>個人事業主の場合は、空欄としてください。</t>
        </r>
      </text>
    </comment>
    <comment ref="F25" authorId="0" shapeId="0" xr:uid="{00000000-0006-0000-0000-000009000000}">
      <text>
        <r>
          <rPr>
            <sz val="9"/>
            <color indexed="81"/>
            <rFont val="MS P ゴシック"/>
            <family val="3"/>
            <charset val="128"/>
          </rPr>
          <t>半角数字で入力してください。
ハイフンで区切ってください。</t>
        </r>
      </text>
    </comment>
    <comment ref="T25" authorId="0" shapeId="0" xr:uid="{00000000-0006-0000-0000-00000A000000}">
      <text>
        <r>
          <rPr>
            <sz val="9"/>
            <color indexed="81"/>
            <rFont val="MS P ゴシック"/>
            <family val="3"/>
            <charset val="128"/>
          </rPr>
          <t>セル右側のプルダウンボタンから、本店が所在する市町村を選択してください。
県外本店の場合は、「県外」を選択してください。</t>
        </r>
      </text>
    </comment>
    <comment ref="F27" authorId="0" shapeId="0" xr:uid="{CEDBEE02-5FA0-4758-8A28-3D4A04B59D02}">
      <text>
        <r>
          <rPr>
            <sz val="9"/>
            <color indexed="81"/>
            <rFont val="MS P ゴシック"/>
            <family val="3"/>
            <charset val="128"/>
          </rPr>
          <t>都道府県名を入力してください。</t>
        </r>
      </text>
    </comment>
    <comment ref="J27" authorId="0" shapeId="0" xr:uid="{00000000-0006-0000-0000-00000C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
使用しないでください。</t>
        </r>
        <r>
          <rPr>
            <sz val="9"/>
            <color indexed="81"/>
            <rFont val="MS P ゴシック"/>
            <family val="3"/>
            <charset val="128"/>
          </rPr>
          <t xml:space="preserve">
【例】３丁目２番１号 → ３－２－１</t>
        </r>
      </text>
    </comment>
    <comment ref="J28" authorId="0" shapeId="0" xr:uid="{00000000-0006-0000-0000-00000D000000}">
      <text>
        <r>
          <rPr>
            <sz val="9"/>
            <color indexed="81"/>
            <rFont val="MS P ゴシック"/>
            <family val="3"/>
            <charset val="128"/>
          </rPr>
          <t>「住所」欄に記載した住所が、
以下と異なる場合は、その理由を記載してください。
法人の場合：登記事項証明書
個人の場合：所得税申告書類</t>
        </r>
      </text>
    </comment>
    <comment ref="F29" authorId="0" shapeId="0" xr:uid="{00000000-0006-0000-0000-00000E000000}">
      <text>
        <r>
          <rPr>
            <sz val="9"/>
            <color indexed="81"/>
            <rFont val="MS P ゴシック"/>
            <family val="3"/>
            <charset val="128"/>
          </rPr>
          <t>市外局番から入力してください。
ハイフンで区切ってください。</t>
        </r>
      </text>
    </comment>
    <comment ref="S29" authorId="0" shapeId="0" xr:uid="{00000000-0006-0000-0000-00000F000000}">
      <text>
        <r>
          <rPr>
            <sz val="9"/>
            <color indexed="81"/>
            <rFont val="MS P ゴシック"/>
            <family val="3"/>
            <charset val="128"/>
          </rPr>
          <t>市外局番から入力してください。
ハイフンで区切ってください。</t>
        </r>
      </text>
    </comment>
    <comment ref="L30" authorId="0" shapeId="0" xr:uid="{05F7CCA2-19FD-4166-A31C-2A77815F227A}">
      <text>
        <r>
          <rPr>
            <sz val="9"/>
            <color indexed="81"/>
            <rFont val="MS P ゴシック"/>
            <family val="3"/>
            <charset val="128"/>
          </rPr>
          <t>すべて全角で入力してください。
部署名と氏名の間にスペースを入力してください。
【例】総務部　新潟太郎</t>
        </r>
      </text>
    </comment>
    <comment ref="L31" authorId="0" shapeId="0" xr:uid="{00000000-0006-0000-0000-000011000000}">
      <text>
        <r>
          <rPr>
            <sz val="9"/>
            <color indexed="81"/>
            <rFont val="MS P ゴシック"/>
            <family val="3"/>
            <charset val="128"/>
          </rPr>
          <t>市外局番から入力してください。
ハイフンで区切ってください。</t>
        </r>
      </text>
    </comment>
    <comment ref="K37" authorId="0" shapeId="0" xr:uid="{F60081EB-E987-4E55-B836-EDBDDEE9F715}">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7" authorId="0" shapeId="0" xr:uid="{D8A6E793-190C-4A6D-AE30-12FE0D23EFE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8" authorId="0" shapeId="0" xr:uid="{5151DB28-B5BB-4411-8B59-D7C62DD6E8F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8" authorId="0" shapeId="0" xr:uid="{93389B92-67EA-49ED-9F29-2729A51BD383}">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9" authorId="0" shapeId="0" xr:uid="{446885DA-169C-4677-8CC0-0301924287D1}">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9" authorId="0" shapeId="0" xr:uid="{51324D23-5F83-49CF-80BE-D0DBCFD9974D}">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0" authorId="0" shapeId="0" xr:uid="{437898EC-CCA0-4943-84A9-FADF2DF3A40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40" authorId="0" shapeId="0" xr:uid="{83BF74C4-948B-4B53-9BBF-DCF2AD9DC6AF}">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1" authorId="0" shapeId="0" xr:uid="{5B50B9BE-DFBE-4D76-98D3-6B0DB485BA5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M3" authorId="0" shapeId="0" xr:uid="{887B0508-A410-407D-A164-C7D79641F97F}">
      <text>
        <r>
          <rPr>
            <sz val="9"/>
            <color indexed="81"/>
            <rFont val="MS P ゴシック"/>
            <family val="3"/>
            <charset val="128"/>
          </rPr>
          <t>申請要領を参考に、セル右側のプルダウンボタンから業種を選択してください。</t>
        </r>
      </text>
    </comment>
    <comment ref="B9" authorId="0" shapeId="0" xr:uid="{4D95B018-8542-44CF-A7D3-187F3ECFFB12}">
      <text>
        <r>
          <rPr>
            <sz val="9"/>
            <color indexed="81"/>
            <rFont val="MS P ゴシック"/>
            <family val="3"/>
            <charset val="128"/>
          </rPr>
          <t>セル右側のプルダウンボタンから「元号」を選択してください。</t>
        </r>
      </text>
    </comment>
    <comment ref="I16" authorId="0" shapeId="0" xr:uid="{515E883F-5BAA-4A57-812E-7722AEEF407B}">
      <text>
        <r>
          <rPr>
            <sz val="9"/>
            <color indexed="81"/>
            <rFont val="MS P ゴシック"/>
            <family val="3"/>
            <charset val="128"/>
          </rPr>
          <t>セル右側のプルダウンボタンから「元号」を選択してください。</t>
        </r>
      </text>
    </comment>
    <comment ref="I17" authorId="0" shapeId="0" xr:uid="{4F90049A-7CC6-493A-9C21-B2C20940DBB8}">
      <text>
        <r>
          <rPr>
            <sz val="9"/>
            <color indexed="81"/>
            <rFont val="MS P ゴシック"/>
            <family val="3"/>
            <charset val="128"/>
          </rPr>
          <t>セル右側のプルダウンボタンから「元号」を選択してください。</t>
        </r>
      </text>
    </comment>
    <comment ref="I18" authorId="0" shapeId="0" xr:uid="{82A60C45-17DE-43D0-BA08-3F9B8D81400F}">
      <text>
        <r>
          <rPr>
            <sz val="9"/>
            <color indexed="81"/>
            <rFont val="MS P ゴシック"/>
            <family val="3"/>
            <charset val="128"/>
          </rPr>
          <t>セル右側のプルダウンボタンから「元号」を選択してください。</t>
        </r>
      </text>
    </comment>
    <comment ref="I19" authorId="0" shapeId="0" xr:uid="{270D2D54-E0BB-4C55-B9C1-032A1D6F2E11}">
      <text>
        <r>
          <rPr>
            <sz val="9"/>
            <color indexed="81"/>
            <rFont val="MS P ゴシック"/>
            <family val="3"/>
            <charset val="128"/>
          </rPr>
          <t>セル右側のプルダウンボタンから「元号」を選択してください。</t>
        </r>
      </text>
    </comment>
    <comment ref="I20" authorId="0" shapeId="0" xr:uid="{756F6583-907A-4FA5-AEFF-3414905D5C2F}">
      <text>
        <r>
          <rPr>
            <sz val="9"/>
            <color indexed="81"/>
            <rFont val="MS P ゴシック"/>
            <family val="3"/>
            <charset val="128"/>
          </rPr>
          <t>セル右側のプルダウンボタンから「元号」を選択してください。</t>
        </r>
      </text>
    </comment>
    <comment ref="I21" authorId="0" shapeId="0" xr:uid="{90B99EC8-9BCE-45CF-B70C-436A2D38BDDD}">
      <text>
        <r>
          <rPr>
            <sz val="9"/>
            <color indexed="81"/>
            <rFont val="MS P ゴシック"/>
            <family val="3"/>
            <charset val="128"/>
          </rPr>
          <t>セル右側のプルダウンボタンから「元号」を選択してください。</t>
        </r>
      </text>
    </comment>
    <comment ref="I22" authorId="0" shapeId="0" xr:uid="{590DB756-DDC3-4DAD-9BEF-34AAFD031EBB}">
      <text>
        <r>
          <rPr>
            <sz val="9"/>
            <color indexed="81"/>
            <rFont val="MS P ゴシック"/>
            <family val="3"/>
            <charset val="128"/>
          </rPr>
          <t>セル右側のプルダウンボタンから「元号」を選択してください。</t>
        </r>
      </text>
    </comment>
    <comment ref="I23" authorId="0" shapeId="0" xr:uid="{78854EC6-21C7-489F-AD05-9949A2EB5032}">
      <text>
        <r>
          <rPr>
            <sz val="9"/>
            <color indexed="81"/>
            <rFont val="MS P ゴシック"/>
            <family val="3"/>
            <charset val="128"/>
          </rPr>
          <t>セル右側のプルダウンボタンから「元号」を選択してください。</t>
        </r>
      </text>
    </comment>
    <comment ref="I24" authorId="0" shapeId="0" xr:uid="{382F4809-39A5-4555-A3E2-B3EB2B7CA1CC}">
      <text>
        <r>
          <rPr>
            <sz val="9"/>
            <color indexed="81"/>
            <rFont val="MS P ゴシック"/>
            <family val="3"/>
            <charset val="128"/>
          </rPr>
          <t>セル右側のプルダウンボタンから「元号」を選択してください。</t>
        </r>
      </text>
    </comment>
    <comment ref="I25" authorId="0" shapeId="0" xr:uid="{929F0E78-A64B-4092-8ADB-DE5E0BEEABCB}">
      <text>
        <r>
          <rPr>
            <sz val="9"/>
            <color indexed="81"/>
            <rFont val="MS P ゴシック"/>
            <family val="3"/>
            <charset val="128"/>
          </rPr>
          <t>セル右側のプルダウンボタンから「元号」を選択してください。</t>
        </r>
      </text>
    </comment>
    <comment ref="I26" authorId="0" shapeId="0" xr:uid="{040EA66F-FFE5-46F2-AB68-E4FE9D946DA0}">
      <text>
        <r>
          <rPr>
            <sz val="9"/>
            <color indexed="81"/>
            <rFont val="MS P ゴシック"/>
            <family val="3"/>
            <charset val="128"/>
          </rPr>
          <t>セル右側のプルダウンボタンから「元号」を選択してください。</t>
        </r>
      </text>
    </comment>
    <comment ref="I27" authorId="0" shapeId="0" xr:uid="{C6EF18A4-3623-4574-AC5E-ED163D6A5296}">
      <text>
        <r>
          <rPr>
            <sz val="9"/>
            <color indexed="81"/>
            <rFont val="MS P ゴシック"/>
            <family val="3"/>
            <charset val="128"/>
          </rPr>
          <t>セル右側のプルダウンボタンから「元号」を選択してください。</t>
        </r>
      </text>
    </comment>
    <comment ref="J36" authorId="0" shapeId="0" xr:uid="{7C21D53A-0BAB-4F57-A25E-A3A6745A6AE8}">
      <text>
        <r>
          <rPr>
            <b/>
            <sz val="9"/>
            <color indexed="81"/>
            <rFont val="MS P ゴシック"/>
            <family val="3"/>
            <charset val="128"/>
          </rPr>
          <t>和暦で入力してください。</t>
        </r>
      </text>
    </comment>
    <comment ref="S36" authorId="0" shapeId="0" xr:uid="{1F6057DB-6309-447C-A0B4-7007503EDF46}">
      <text>
        <r>
          <rPr>
            <b/>
            <sz val="9"/>
            <color indexed="81"/>
            <rFont val="MS P ゴシック"/>
            <family val="3"/>
            <charset val="128"/>
          </rPr>
          <t>和暦で入力してください。</t>
        </r>
      </text>
    </comment>
    <comment ref="I47" authorId="0" shapeId="0" xr:uid="{00000000-0006-0000-0200-00000E000000}">
      <text>
        <r>
          <rPr>
            <sz val="9"/>
            <color indexed="81"/>
            <rFont val="MS P ゴシック"/>
            <family val="3"/>
            <charset val="128"/>
          </rPr>
          <t>セル右側のプルダウンボタンから、
該当するものを選択してください。</t>
        </r>
      </text>
    </comment>
    <comment ref="W47" authorId="0" shapeId="0" xr:uid="{50108617-1C3E-46F1-BD53-3C0350AB1FE5}">
      <text>
        <r>
          <rPr>
            <sz val="9"/>
            <color indexed="81"/>
            <rFont val="MS P ゴシック"/>
            <family val="3"/>
            <charset val="128"/>
          </rPr>
          <t>セル右側のプルダウンボタンから、
該当するものを選択してください。</t>
        </r>
      </text>
    </comment>
    <comment ref="I48" authorId="0" shapeId="0" xr:uid="{B4B7FD46-9630-41AE-8DC8-7F8DE92FC1B1}">
      <text>
        <r>
          <rPr>
            <sz val="9"/>
            <color indexed="81"/>
            <rFont val="MS P ゴシック"/>
            <family val="3"/>
            <charset val="128"/>
          </rPr>
          <t>セル右側のプルダウンボタンから、
該当するものを選択してください。</t>
        </r>
      </text>
    </comment>
    <comment ref="W48" authorId="0" shapeId="0" xr:uid="{B64556CE-217E-4F67-A759-F41FBFB97E5C}">
      <text>
        <r>
          <rPr>
            <sz val="9"/>
            <color indexed="81"/>
            <rFont val="MS P ゴシック"/>
            <family val="3"/>
            <charset val="128"/>
          </rPr>
          <t>セル右側のプルダウンボタンから、
該当するものを選択してください。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4" authorId="0" shapeId="0" xr:uid="{00000000-0006-0000-0300-000001000000}">
      <text>
        <r>
          <rPr>
            <sz val="9"/>
            <color indexed="81"/>
            <rFont val="MS P ゴシック"/>
            <family val="3"/>
            <charset val="128"/>
          </rPr>
          <t>セル右側のプルダウンボタンから
該当するものを選択してください。
「代理人を置く」を選択した場合は、以下の欄に入力してください。</t>
        </r>
      </text>
    </comment>
    <comment ref="J5" authorId="0" shapeId="0" xr:uid="{00000000-0006-0000-0300-000002000000}">
      <text>
        <r>
          <rPr>
            <sz val="9"/>
            <color indexed="81"/>
            <rFont val="MS P ゴシック"/>
            <family val="3"/>
            <charset val="128"/>
          </rPr>
          <t>半角数字で入力してください。
ハイフンで区切ってください。</t>
        </r>
      </text>
    </comment>
    <comment ref="G7" authorId="0" shapeId="0" xr:uid="{01EC89C3-43C5-40E2-9B8F-FC34DC5D55AA}">
      <text>
        <r>
          <rPr>
            <sz val="9"/>
            <color indexed="81"/>
            <rFont val="MS P ゴシック"/>
            <family val="3"/>
            <charset val="128"/>
          </rPr>
          <t>都道府県名を入力してください。</t>
        </r>
      </text>
    </comment>
    <comment ref="K7" authorId="0" shapeId="0" xr:uid="{00000000-0006-0000-0300-000003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番地等は「－」（ハイフン）で区切り、「丁目、番、号」は使用しないでください。</t>
        </r>
        <r>
          <rPr>
            <sz val="9"/>
            <color indexed="81"/>
            <rFont val="MS P ゴシック"/>
            <family val="3"/>
            <charset val="128"/>
          </rPr>
          <t xml:space="preserve">
【例】３丁目２番１号 → ３－２－１</t>
        </r>
      </text>
    </comment>
    <comment ref="G8" authorId="0" shapeId="0" xr:uid="{00000000-0006-0000-0300-000004000000}">
      <text>
        <r>
          <rPr>
            <sz val="9"/>
            <color indexed="81"/>
            <rFont val="MS P ゴシック"/>
            <family val="3"/>
            <charset val="128"/>
          </rPr>
          <t>市外局番から入力してください。
ハイフンで区切ってください。</t>
        </r>
      </text>
    </comment>
    <comment ref="U8" authorId="0" shapeId="0" xr:uid="{00000000-0006-0000-0300-000005000000}">
      <text>
        <r>
          <rPr>
            <sz val="9"/>
            <color indexed="81"/>
            <rFont val="MS P ゴシック"/>
            <family val="3"/>
            <charset val="128"/>
          </rPr>
          <t>市外局番から入力してください。
ハイフンで区切ってください。</t>
        </r>
      </text>
    </comment>
    <comment ref="G9" authorId="0" shapeId="0" xr:uid="{00000000-0006-0000-0300-000006000000}">
      <text>
        <r>
          <rPr>
            <b/>
            <sz val="9"/>
            <color indexed="81"/>
            <rFont val="MS P ゴシック"/>
            <family val="3"/>
            <charset val="128"/>
          </rPr>
          <t>「商号又は名称」の後にスペースを入力し、「支店等名称」を入力してください。</t>
        </r>
        <r>
          <rPr>
            <sz val="9"/>
            <color indexed="81"/>
            <rFont val="MS P ゴシック"/>
            <family val="3"/>
            <charset val="128"/>
          </rPr>
          <t xml:space="preserve">
すべて全角で入力してください。
【例】（株）新潟商事　長岡支店</t>
        </r>
      </text>
    </comment>
    <comment ref="E10" authorId="0" shapeId="0" xr:uid="{00000000-0006-0000-0300-000007000000}">
      <text>
        <r>
          <rPr>
            <sz val="9"/>
            <color indexed="81"/>
            <rFont val="MS P ゴシック"/>
            <family val="3"/>
            <charset val="128"/>
          </rPr>
          <t>全角で入力してください。</t>
        </r>
      </text>
    </comment>
    <comment ref="U10" authorId="0" shapeId="0" xr:uid="{5127F911-29CF-49CF-A004-5DF2040715A2}">
      <text>
        <r>
          <rPr>
            <sz val="9"/>
            <color indexed="81"/>
            <rFont val="MS P ゴシック"/>
            <family val="3"/>
            <charset val="128"/>
          </rPr>
          <t>全角で入力してください。
氏と名の間にスペースを入力してください。</t>
        </r>
      </text>
    </comment>
    <comment ref="J22" authorId="0" shapeId="0" xr:uid="{00000000-0006-0000-0300-000008000000}">
      <text>
        <r>
          <rPr>
            <sz val="9"/>
            <color indexed="81"/>
            <rFont val="MS P ゴシック"/>
            <family val="3"/>
            <charset val="128"/>
          </rPr>
          <t>セル右側のプルダウンボタンから
該当するものを選択してください。
（先に上記６を選択してください。）
※上記６で「代理人を置く」を選択した場合は、必ず「登録しない」となります。</t>
        </r>
      </text>
    </comment>
    <comment ref="I31" authorId="0" shapeId="0" xr:uid="{00000000-0006-0000-0300-000009000000}">
      <text>
        <r>
          <rPr>
            <sz val="9"/>
            <color indexed="81"/>
            <rFont val="MS P ゴシック"/>
            <family val="3"/>
            <charset val="128"/>
          </rPr>
          <t>セル右側のプルダウンボタンから
該当するものを選択してください。
「その他住所」を選択した場合のみ、
以下の欄も入力してください。</t>
        </r>
      </text>
    </comment>
    <comment ref="K33" authorId="0" shapeId="0" xr:uid="{00000000-0006-0000-0300-00000A000000}">
      <text>
        <r>
          <rPr>
            <sz val="9"/>
            <color indexed="81"/>
            <rFont val="MS P ゴシック"/>
            <family val="3"/>
            <charset val="128"/>
          </rPr>
          <t>半角数字で入力してください。
ハイフンで区切ってください。</t>
        </r>
      </text>
    </comment>
    <comment ref="G35" authorId="0" shapeId="0" xr:uid="{16BF3B26-99DA-44C4-BA13-8ED3630C83F7}">
      <text>
        <r>
          <rPr>
            <sz val="9"/>
            <color indexed="81"/>
            <rFont val="MS P ゴシック"/>
            <family val="3"/>
            <charset val="128"/>
          </rPr>
          <t>都道府県名を入力してください。</t>
        </r>
      </text>
    </comment>
    <comment ref="K35" authorId="0" shapeId="0" xr:uid="{00000000-0006-0000-0300-00000B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G36" authorId="0" shapeId="0" xr:uid="{00000000-0006-0000-0300-00000C000000}">
      <text>
        <r>
          <rPr>
            <sz val="9"/>
            <color indexed="81"/>
            <rFont val="MS P ゴシック"/>
            <family val="3"/>
            <charset val="128"/>
          </rPr>
          <t>市外局番から入力してください。
ハイフンで区切ってください。</t>
        </r>
      </text>
    </comment>
    <comment ref="U36" authorId="0" shapeId="0" xr:uid="{00000000-0006-0000-0300-00000D000000}">
      <text>
        <r>
          <rPr>
            <sz val="9"/>
            <color indexed="81"/>
            <rFont val="MS P ゴシック"/>
            <family val="3"/>
            <charset val="128"/>
          </rPr>
          <t>市外局番から入力してください。
ハイフンで区切ってください。</t>
        </r>
      </text>
    </comment>
    <comment ref="G37" authorId="0" shapeId="0" xr:uid="{00000000-0006-0000-0300-00000E000000}">
      <text>
        <r>
          <rPr>
            <sz val="9"/>
            <color indexed="81"/>
            <rFont val="MS P ゴシック"/>
            <family val="3"/>
            <charset val="128"/>
          </rPr>
          <t>「商号又は名称」と送付先の支店名（部署名）等を続けて入力してください。
すべて全角で入力してください。
【例】（株）新潟商事　販売部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5E93B23F-804A-42DF-A222-B4558C5D15B7}">
      <text>
        <r>
          <rPr>
            <sz val="9"/>
            <color indexed="81"/>
            <rFont val="ＭＳ Ｐゴシック"/>
            <family val="3"/>
            <charset val="128"/>
          </rPr>
          <t xml:space="preserve">セル右側のボタンから「加入している」「加入していない」を選択してください。
選択した事項に自動的に○が付きます。
</t>
        </r>
      </text>
    </comment>
    <comment ref="B8" authorId="0" shapeId="0" xr:uid="{16EA6865-AFDB-420C-839E-ADB559149EE8}">
      <text>
        <r>
          <rPr>
            <sz val="9"/>
            <color indexed="81"/>
            <rFont val="ＭＳ Ｐゴシック"/>
            <family val="3"/>
            <charset val="128"/>
          </rPr>
          <t>セル右側のボタンから「加入している」「加入していない」を選択してください。
選択した事項に自動的に○が付きます。</t>
        </r>
      </text>
    </comment>
    <comment ref="B11" authorId="0" shapeId="0" xr:uid="{7C22886C-83A9-423F-858C-9672BF323808}">
      <text>
        <r>
          <rPr>
            <sz val="9"/>
            <color indexed="81"/>
            <rFont val="ＭＳ Ｐゴシック"/>
            <family val="3"/>
            <charset val="128"/>
          </rPr>
          <t xml:space="preserve">セルの右側のボタンから「遵守している」「遵守していない」を選択してください。
選択した事項に自動的に○が付きます。
</t>
        </r>
      </text>
    </comment>
    <comment ref="B13" authorId="0" shapeId="0" xr:uid="{8ABEA21C-9D54-488E-AEB9-28BB9484407E}">
      <text>
        <r>
          <rPr>
            <sz val="9"/>
            <color indexed="81"/>
            <rFont val="ＭＳ Ｐゴシック"/>
            <family val="3"/>
            <charset val="128"/>
          </rPr>
          <t xml:space="preserve">セル右側のボタンから「行っている」「行っていない」を選択してください。
選択した事項に自動的に○が付きます。
</t>
        </r>
      </text>
    </comment>
  </commentList>
</comments>
</file>

<file path=xl/sharedStrings.xml><?xml version="1.0" encoding="utf-8"?>
<sst xmlns="http://schemas.openxmlformats.org/spreadsheetml/2006/main" count="1651" uniqueCount="834">
  <si>
    <t>靴下</t>
    <rPh sb="0" eb="2">
      <t>クツシタ</t>
    </rPh>
    <phoneticPr fontId="2"/>
  </si>
  <si>
    <t>(耐刃）防護衣</t>
    <rPh sb="1" eb="2">
      <t>タイ</t>
    </rPh>
    <rPh sb="2" eb="3">
      <t>ハ</t>
    </rPh>
    <rPh sb="4" eb="6">
      <t>ボウゴ</t>
    </rPh>
    <rPh sb="6" eb="7">
      <t>ギヌ</t>
    </rPh>
    <phoneticPr fontId="2"/>
  </si>
  <si>
    <t>警備靴（革）</t>
    <rPh sb="0" eb="2">
      <t>ケイビ</t>
    </rPh>
    <rPh sb="2" eb="3">
      <t>クツ</t>
    </rPh>
    <rPh sb="4" eb="5">
      <t>カワ</t>
    </rPh>
    <phoneticPr fontId="2"/>
  </si>
  <si>
    <t>雨衣・防寒着</t>
    <rPh sb="0" eb="1">
      <t>アメ</t>
    </rPh>
    <rPh sb="1" eb="2">
      <t>ギヌ</t>
    </rPh>
    <rPh sb="3" eb="5">
      <t>ボウカン</t>
    </rPh>
    <rPh sb="5" eb="6">
      <t>キ</t>
    </rPh>
    <phoneticPr fontId="2"/>
  </si>
  <si>
    <t>注</t>
    <rPh sb="0" eb="1">
      <t>チュウ</t>
    </rPh>
    <phoneticPr fontId="2"/>
  </si>
  <si>
    <t>千円</t>
    <rPh sb="0" eb="2">
      <t>センエン</t>
    </rPh>
    <phoneticPr fontId="2"/>
  </si>
  <si>
    <t>資本金</t>
    <rPh sb="0" eb="3">
      <t>シホンキン</t>
    </rPh>
    <phoneticPr fontId="2"/>
  </si>
  <si>
    <t>～</t>
    <phoneticPr fontId="2"/>
  </si>
  <si>
    <t>認証等の区分</t>
    <rPh sb="0" eb="2">
      <t>ニンショウ</t>
    </rPh>
    <rPh sb="2" eb="3">
      <t>トウ</t>
    </rPh>
    <rPh sb="4" eb="6">
      <t>クブン</t>
    </rPh>
    <phoneticPr fontId="2"/>
  </si>
  <si>
    <t>代理人</t>
    <rPh sb="0" eb="3">
      <t>ダイリニン</t>
    </rPh>
    <phoneticPr fontId="2"/>
  </si>
  <si>
    <t>支店等名称</t>
    <rPh sb="0" eb="2">
      <t>シテン</t>
    </rPh>
    <rPh sb="2" eb="3">
      <t>トウ</t>
    </rPh>
    <rPh sb="3" eb="5">
      <t>メイショウ</t>
    </rPh>
    <phoneticPr fontId="2"/>
  </si>
  <si>
    <t>ファクシミリ番号</t>
    <rPh sb="6" eb="8">
      <t>バンゴウ</t>
    </rPh>
    <phoneticPr fontId="2"/>
  </si>
  <si>
    <t>代理人選定の有無</t>
    <rPh sb="0" eb="2">
      <t>ダイリ</t>
    </rPh>
    <rPh sb="2" eb="3">
      <t>ニン</t>
    </rPh>
    <rPh sb="3" eb="5">
      <t>センテイ</t>
    </rPh>
    <rPh sb="6" eb="8">
      <t>ウム</t>
    </rPh>
    <phoneticPr fontId="2"/>
  </si>
  <si>
    <t>住所</t>
    <rPh sb="0" eb="2">
      <t>ジュウショ</t>
    </rPh>
    <phoneticPr fontId="2"/>
  </si>
  <si>
    <t>ふりがな</t>
    <phoneticPr fontId="2"/>
  </si>
  <si>
    <t>種目名</t>
    <rPh sb="0" eb="2">
      <t>シュモク</t>
    </rPh>
    <rPh sb="2" eb="3">
      <t>メイ</t>
    </rPh>
    <phoneticPr fontId="2"/>
  </si>
  <si>
    <t>(</t>
    <phoneticPr fontId="2"/>
  </si>
  <si>
    <t>)</t>
    <phoneticPr fontId="2"/>
  </si>
  <si>
    <t>ロータリ除雪車</t>
    <rPh sb="4" eb="6">
      <t>ジョセツ</t>
    </rPh>
    <rPh sb="6" eb="7">
      <t>シャ</t>
    </rPh>
    <phoneticPr fontId="2"/>
  </si>
  <si>
    <t>上記に該当しないもの</t>
    <rPh sb="0" eb="2">
      <t>ジョウキ</t>
    </rPh>
    <rPh sb="3" eb="5">
      <t>ガイトウ</t>
    </rPh>
    <phoneticPr fontId="2"/>
  </si>
  <si>
    <t>噴霧機械</t>
    <rPh sb="0" eb="2">
      <t>フンム</t>
    </rPh>
    <rPh sb="2" eb="4">
      <t>キカイ</t>
    </rPh>
    <phoneticPr fontId="2"/>
  </si>
  <si>
    <t>畜産用機器</t>
    <rPh sb="0" eb="2">
      <t>チクサン</t>
    </rPh>
    <rPh sb="2" eb="3">
      <t>ヨウ</t>
    </rPh>
    <rPh sb="3" eb="5">
      <t>キキ</t>
    </rPh>
    <phoneticPr fontId="2"/>
  </si>
  <si>
    <t>取　扱　品　目（取扱品目にチェックマークを付して下さい。）</t>
    <rPh sb="0" eb="1">
      <t>トリ</t>
    </rPh>
    <rPh sb="2" eb="3">
      <t>アツカ</t>
    </rPh>
    <rPh sb="4" eb="5">
      <t>シナ</t>
    </rPh>
    <rPh sb="6" eb="7">
      <t>メ</t>
    </rPh>
    <rPh sb="8" eb="10">
      <t>トリアツカ</t>
    </rPh>
    <rPh sb="10" eb="12">
      <t>ヒンモク</t>
    </rPh>
    <rPh sb="21" eb="22">
      <t>フ</t>
    </rPh>
    <rPh sb="24" eb="25">
      <t>クダ</t>
    </rPh>
    <phoneticPr fontId="2"/>
  </si>
  <si>
    <t>その他和洋紙製品</t>
    <rPh sb="2" eb="3">
      <t>タ</t>
    </rPh>
    <rPh sb="3" eb="4">
      <t>ワ</t>
    </rPh>
    <rPh sb="4" eb="6">
      <t>ヨウシ</t>
    </rPh>
    <rPh sb="6" eb="8">
      <t>セイヒン</t>
    </rPh>
    <phoneticPr fontId="2"/>
  </si>
  <si>
    <t>養鶏用機器</t>
    <rPh sb="0" eb="3">
      <t>ヨウケイヨウ</t>
    </rPh>
    <rPh sb="3" eb="5">
      <t>キキ</t>
    </rPh>
    <phoneticPr fontId="2"/>
  </si>
  <si>
    <t>信号機用電球</t>
    <rPh sb="0" eb="2">
      <t>シンゴウ</t>
    </rPh>
    <rPh sb="2" eb="3">
      <t>キ</t>
    </rPh>
    <rPh sb="3" eb="4">
      <t>ヨウ</t>
    </rPh>
    <rPh sb="4" eb="6">
      <t>デンキュウ</t>
    </rPh>
    <phoneticPr fontId="2"/>
  </si>
  <si>
    <t>農業薬品・農業資機材</t>
    <rPh sb="0" eb="2">
      <t>ノウギョウ</t>
    </rPh>
    <rPh sb="2" eb="4">
      <t>ヤクヒン</t>
    </rPh>
    <rPh sb="5" eb="7">
      <t>ノウギョウ</t>
    </rPh>
    <rPh sb="7" eb="8">
      <t>シ</t>
    </rPh>
    <rPh sb="8" eb="10">
      <t>キザイ</t>
    </rPh>
    <phoneticPr fontId="2"/>
  </si>
  <si>
    <t>施設・機械用消耗資機材</t>
    <rPh sb="0" eb="2">
      <t>シセツ</t>
    </rPh>
    <rPh sb="3" eb="5">
      <t>キカイ</t>
    </rPh>
    <rPh sb="5" eb="6">
      <t>ヨウ</t>
    </rPh>
    <rPh sb="6" eb="8">
      <t>ショウモウ</t>
    </rPh>
    <rPh sb="8" eb="9">
      <t>シ</t>
    </rPh>
    <rPh sb="9" eb="11">
      <t>キザイ</t>
    </rPh>
    <phoneticPr fontId="2"/>
  </si>
  <si>
    <t>実験・分析用消耗資機材</t>
    <rPh sb="0" eb="2">
      <t>ジッケン</t>
    </rPh>
    <rPh sb="3" eb="5">
      <t>ブンセキ</t>
    </rPh>
    <rPh sb="5" eb="6">
      <t>ヨウ</t>
    </rPh>
    <rPh sb="6" eb="8">
      <t>ショウモウ</t>
    </rPh>
    <rPh sb="8" eb="11">
      <t>シキザイ</t>
    </rPh>
    <phoneticPr fontId="2"/>
  </si>
  <si>
    <t>個人情報保護を含む印刷</t>
    <rPh sb="0" eb="2">
      <t>コジン</t>
    </rPh>
    <rPh sb="2" eb="4">
      <t>ジョウホウ</t>
    </rPh>
    <rPh sb="4" eb="6">
      <t>ホゴ</t>
    </rPh>
    <rPh sb="7" eb="8">
      <t>フク</t>
    </rPh>
    <rPh sb="9" eb="11">
      <t>インサツ</t>
    </rPh>
    <phoneticPr fontId="2"/>
  </si>
  <si>
    <r>
      <t>"秘</t>
    </r>
    <r>
      <rPr>
        <sz val="11"/>
        <rFont val="ＭＳ Ｐゴシック"/>
        <family val="3"/>
        <charset val="128"/>
      </rPr>
      <t>"重要用紙印刷</t>
    </r>
    <rPh sb="1" eb="2">
      <t>ヒ</t>
    </rPh>
    <rPh sb="3" eb="5">
      <t>ジュウヨウ</t>
    </rPh>
    <rPh sb="5" eb="7">
      <t>ヨウシ</t>
    </rPh>
    <rPh sb="7" eb="9">
      <t>インサツ</t>
    </rPh>
    <phoneticPr fontId="2"/>
  </si>
  <si>
    <t>申請者名称等</t>
    <rPh sb="0" eb="3">
      <t>シンセイシャ</t>
    </rPh>
    <rPh sb="3" eb="5">
      <t>メイショウ</t>
    </rPh>
    <rPh sb="5" eb="6">
      <t>トウ</t>
    </rPh>
    <phoneticPr fontId="2"/>
  </si>
  <si>
    <t>申請区分</t>
    <rPh sb="0" eb="2">
      <t>シンセイ</t>
    </rPh>
    <rPh sb="2" eb="4">
      <t>クブン</t>
    </rPh>
    <phoneticPr fontId="2"/>
  </si>
  <si>
    <t>プライバシーマーク</t>
    <phoneticPr fontId="2"/>
  </si>
  <si>
    <t>拳銃用つりひも</t>
    <rPh sb="0" eb="2">
      <t>ケンジュウ</t>
    </rPh>
    <rPh sb="2" eb="3">
      <t>ヨウ</t>
    </rPh>
    <phoneticPr fontId="2"/>
  </si>
  <si>
    <t>魚沼市</t>
  </si>
  <si>
    <t>妙高市</t>
  </si>
  <si>
    <t>第１号様式　別紙１</t>
    <rPh sb="0" eb="1">
      <t>ダイ</t>
    </rPh>
    <rPh sb="2" eb="3">
      <t>ゴウ</t>
    </rPh>
    <rPh sb="3" eb="5">
      <t>ヨウシキ</t>
    </rPh>
    <rPh sb="6" eb="8">
      <t>ベッシ</t>
    </rPh>
    <phoneticPr fontId="2"/>
  </si>
  <si>
    <t>第１号様式　別紙２</t>
    <rPh sb="0" eb="1">
      <t>ダイ</t>
    </rPh>
    <rPh sb="2" eb="3">
      <t>ゴウ</t>
    </rPh>
    <rPh sb="3" eb="5">
      <t>ヨウシキ</t>
    </rPh>
    <rPh sb="6" eb="8">
      <t>ベッシ</t>
    </rPh>
    <phoneticPr fontId="2"/>
  </si>
  <si>
    <t>許認可等(許可・登録・認可・届出等）</t>
    <rPh sb="0" eb="3">
      <t>キョニンカ</t>
    </rPh>
    <rPh sb="3" eb="4">
      <t>トウ</t>
    </rPh>
    <rPh sb="5" eb="7">
      <t>キョカ</t>
    </rPh>
    <rPh sb="8" eb="10">
      <t>トウロク</t>
    </rPh>
    <rPh sb="11" eb="13">
      <t>ニンカ</t>
    </rPh>
    <rPh sb="14" eb="16">
      <t>トドケデ</t>
    </rPh>
    <rPh sb="16" eb="17">
      <t>トウ</t>
    </rPh>
    <phoneticPr fontId="2"/>
  </si>
  <si>
    <t>液体クロマトグラフ</t>
    <rPh sb="0" eb="1">
      <t>エキ</t>
    </rPh>
    <rPh sb="1" eb="2">
      <t>タイ</t>
    </rPh>
    <phoneticPr fontId="2"/>
  </si>
  <si>
    <t>小形除雪車（乗用）</t>
    <rPh sb="0" eb="2">
      <t>コガタ</t>
    </rPh>
    <rPh sb="2" eb="4">
      <t>ジョセツ</t>
    </rPh>
    <rPh sb="4" eb="5">
      <t>シャ</t>
    </rPh>
    <rPh sb="6" eb="8">
      <t>ジョウヨウ</t>
    </rPh>
    <phoneticPr fontId="2"/>
  </si>
  <si>
    <t>手押式除雪機</t>
    <rPh sb="0" eb="2">
      <t>テオ</t>
    </rPh>
    <rPh sb="2" eb="3">
      <t>シキ</t>
    </rPh>
    <rPh sb="3" eb="6">
      <t>ジョセツキ</t>
    </rPh>
    <phoneticPr fontId="2"/>
  </si>
  <si>
    <t>船舶・航空機</t>
    <rPh sb="0" eb="2">
      <t>センパク</t>
    </rPh>
    <rPh sb="3" eb="6">
      <t>コウクウキ</t>
    </rPh>
    <phoneticPr fontId="2"/>
  </si>
  <si>
    <t>航空機</t>
    <rPh sb="0" eb="3">
      <t>コウクウキ</t>
    </rPh>
    <phoneticPr fontId="2"/>
  </si>
  <si>
    <t>航空機装備品</t>
    <rPh sb="0" eb="3">
      <t>コウクウキ</t>
    </rPh>
    <rPh sb="3" eb="6">
      <t>ソウビヒン</t>
    </rPh>
    <phoneticPr fontId="2"/>
  </si>
  <si>
    <t>仮設トイレ・簡易トイレ</t>
    <rPh sb="0" eb="2">
      <t>カセツ</t>
    </rPh>
    <rPh sb="6" eb="8">
      <t>カンイ</t>
    </rPh>
    <phoneticPr fontId="2"/>
  </si>
  <si>
    <t>教育用材料</t>
    <rPh sb="0" eb="3">
      <t>キョウイクヨウ</t>
    </rPh>
    <rPh sb="3" eb="5">
      <t>ザイリョウ</t>
    </rPh>
    <phoneticPr fontId="2"/>
  </si>
  <si>
    <t>医療用衣料</t>
    <rPh sb="0" eb="3">
      <t>イリョウヨウ</t>
    </rPh>
    <rPh sb="3" eb="5">
      <t>イリョウ</t>
    </rPh>
    <phoneticPr fontId="2"/>
  </si>
  <si>
    <t>（警察官用を除く）</t>
    <rPh sb="1" eb="5">
      <t>ケイサツカンヨウ</t>
    </rPh>
    <rPh sb="6" eb="7">
      <t>ノゾ</t>
    </rPh>
    <phoneticPr fontId="2"/>
  </si>
  <si>
    <t>長靴</t>
    <rPh sb="0" eb="1">
      <t>チョウ</t>
    </rPh>
    <rPh sb="1" eb="2">
      <t>クツ</t>
    </rPh>
    <phoneticPr fontId="2"/>
  </si>
  <si>
    <t>消防ポンプ・ホース</t>
    <rPh sb="0" eb="2">
      <t>ショウボウ</t>
    </rPh>
    <phoneticPr fontId="2"/>
  </si>
  <si>
    <t>毛布</t>
    <rPh sb="0" eb="2">
      <t>モウフ</t>
    </rPh>
    <phoneticPr fontId="2"/>
  </si>
  <si>
    <t>携帯式トイレ</t>
    <rPh sb="0" eb="2">
      <t>ケイタイ</t>
    </rPh>
    <rPh sb="2" eb="3">
      <t>シキ</t>
    </rPh>
    <phoneticPr fontId="2"/>
  </si>
  <si>
    <t>靴類</t>
    <rPh sb="0" eb="1">
      <t>クツ</t>
    </rPh>
    <rPh sb="1" eb="2">
      <t>ルイ</t>
    </rPh>
    <phoneticPr fontId="2"/>
  </si>
  <si>
    <t>拳銃入れ</t>
    <rPh sb="0" eb="2">
      <t>ケンジュウ</t>
    </rPh>
    <rPh sb="2" eb="3">
      <t>イ</t>
    </rPh>
    <phoneticPr fontId="2"/>
  </si>
  <si>
    <t>警棒つり</t>
    <rPh sb="0" eb="2">
      <t>ケイボウ</t>
    </rPh>
    <phoneticPr fontId="2"/>
  </si>
  <si>
    <t>電光掲示板</t>
    <rPh sb="0" eb="2">
      <t>デンコウ</t>
    </rPh>
    <rPh sb="2" eb="4">
      <t>ケイジ</t>
    </rPh>
    <rPh sb="4" eb="5">
      <t>イタ</t>
    </rPh>
    <phoneticPr fontId="2"/>
  </si>
  <si>
    <t>種目名</t>
    <phoneticPr fontId="2"/>
  </si>
  <si>
    <t>許認可等終期</t>
    <rPh sb="0" eb="3">
      <t>キョニンカ</t>
    </rPh>
    <rPh sb="3" eb="4">
      <t>トウ</t>
    </rPh>
    <rPh sb="4" eb="6">
      <t>シュウキ</t>
    </rPh>
    <phoneticPr fontId="2"/>
  </si>
  <si>
    <t>許認可等始期</t>
    <rPh sb="0" eb="3">
      <t>キョニンカ</t>
    </rPh>
    <rPh sb="3" eb="4">
      <t>トウ</t>
    </rPh>
    <rPh sb="4" eb="6">
      <t>シキ</t>
    </rPh>
    <phoneticPr fontId="2"/>
  </si>
  <si>
    <t>許認可等官公庁名</t>
    <rPh sb="0" eb="3">
      <t>キョニンカ</t>
    </rPh>
    <rPh sb="3" eb="4">
      <t>トウ</t>
    </rPh>
    <rPh sb="4" eb="7">
      <t>カンコウチョウ</t>
    </rPh>
    <rPh sb="7" eb="8">
      <t>メイ</t>
    </rPh>
    <phoneticPr fontId="2"/>
  </si>
  <si>
    <t>申請日直近の事業年度の始期・終期</t>
    <rPh sb="0" eb="2">
      <t>シンセイ</t>
    </rPh>
    <rPh sb="2" eb="3">
      <t>ヒ</t>
    </rPh>
    <rPh sb="3" eb="5">
      <t>チョッキン</t>
    </rPh>
    <rPh sb="6" eb="8">
      <t>ジギョウ</t>
    </rPh>
    <rPh sb="8" eb="10">
      <t>ネンド</t>
    </rPh>
    <rPh sb="11" eb="13">
      <t>シキ</t>
    </rPh>
    <rPh sb="14" eb="16">
      <t>シュウキ</t>
    </rPh>
    <phoneticPr fontId="2"/>
  </si>
  <si>
    <t>申請日直近の事業年度の売上高</t>
    <rPh sb="0" eb="2">
      <t>シンセイ</t>
    </rPh>
    <rPh sb="2" eb="3">
      <t>ヒ</t>
    </rPh>
    <rPh sb="3" eb="5">
      <t>チョッキン</t>
    </rPh>
    <rPh sb="6" eb="8">
      <t>ジギョウ</t>
    </rPh>
    <rPh sb="8" eb="10">
      <t>ネンド</t>
    </rPh>
    <rPh sb="11" eb="13">
      <t>ウリアゲ</t>
    </rPh>
    <rPh sb="13" eb="14">
      <t>タカ</t>
    </rPh>
    <phoneticPr fontId="2"/>
  </si>
  <si>
    <t>商号又は名称</t>
    <phoneticPr fontId="2"/>
  </si>
  <si>
    <t>職名</t>
    <rPh sb="0" eb="2">
      <t>ショクメイ</t>
    </rPh>
    <phoneticPr fontId="2"/>
  </si>
  <si>
    <t>代表者</t>
    <phoneticPr fontId="2"/>
  </si>
  <si>
    <t>01</t>
    <phoneticPr fontId="2"/>
  </si>
  <si>
    <t>02</t>
    <phoneticPr fontId="2"/>
  </si>
  <si>
    <t>03</t>
  </si>
  <si>
    <t>03</t>
    <phoneticPr fontId="2"/>
  </si>
  <si>
    <t>04</t>
  </si>
  <si>
    <t>04</t>
    <phoneticPr fontId="2"/>
  </si>
  <si>
    <t>05</t>
  </si>
  <si>
    <t>05</t>
    <phoneticPr fontId="2"/>
  </si>
  <si>
    <t>06</t>
  </si>
  <si>
    <t>06</t>
    <phoneticPr fontId="2"/>
  </si>
  <si>
    <t>07</t>
    <phoneticPr fontId="2"/>
  </si>
  <si>
    <t>08</t>
  </si>
  <si>
    <t>08</t>
    <phoneticPr fontId="2"/>
  </si>
  <si>
    <t>09</t>
  </si>
  <si>
    <t>09</t>
    <phoneticPr fontId="2"/>
  </si>
  <si>
    <t>薬品・肥飼料・資材類</t>
    <rPh sb="0" eb="2">
      <t>ヤクヒン</t>
    </rPh>
    <rPh sb="3" eb="4">
      <t>ヒ</t>
    </rPh>
    <rPh sb="4" eb="6">
      <t>シリョウ</t>
    </rPh>
    <rPh sb="7" eb="9">
      <t>シザイ</t>
    </rPh>
    <rPh sb="9" eb="10">
      <t>ルイ</t>
    </rPh>
    <phoneticPr fontId="2"/>
  </si>
  <si>
    <t>車両・船舶類</t>
    <rPh sb="0" eb="1">
      <t>シャ</t>
    </rPh>
    <rPh sb="1" eb="2">
      <t>リョウ</t>
    </rPh>
    <rPh sb="3" eb="5">
      <t>センパク</t>
    </rPh>
    <rPh sb="5" eb="6">
      <t>ルイ</t>
    </rPh>
    <phoneticPr fontId="2"/>
  </si>
  <si>
    <t>05大分類</t>
    <rPh sb="2" eb="3">
      <t>ダイ</t>
    </rPh>
    <rPh sb="3" eb="5">
      <t>ブンルイ</t>
    </rPh>
    <phoneticPr fontId="2"/>
  </si>
  <si>
    <t>06指名</t>
    <rPh sb="2" eb="4">
      <t>シメイ</t>
    </rPh>
    <phoneticPr fontId="2"/>
  </si>
  <si>
    <t>写真機器・写真用消耗品</t>
    <rPh sb="0" eb="2">
      <t>シャシン</t>
    </rPh>
    <rPh sb="2" eb="4">
      <t>キキ</t>
    </rPh>
    <rPh sb="5" eb="7">
      <t>シャシン</t>
    </rPh>
    <rPh sb="7" eb="8">
      <t>ヨウ</t>
    </rPh>
    <rPh sb="8" eb="11">
      <t>ショウモウヒン</t>
    </rPh>
    <phoneticPr fontId="2"/>
  </si>
  <si>
    <t>農業薬品・農業資機材</t>
    <rPh sb="0" eb="2">
      <t>ノウギョウ</t>
    </rPh>
    <rPh sb="2" eb="4">
      <t>ヤクヒン</t>
    </rPh>
    <rPh sb="5" eb="7">
      <t>ノウギョウ</t>
    </rPh>
    <rPh sb="7" eb="8">
      <t>シ</t>
    </rPh>
    <rPh sb="8" eb="9">
      <t>キ</t>
    </rPh>
    <rPh sb="9" eb="10">
      <t>ザイ</t>
    </rPh>
    <phoneticPr fontId="2"/>
  </si>
  <si>
    <t>工業薬品・施設用消耗資材</t>
    <rPh sb="0" eb="2">
      <t>コウギョウ</t>
    </rPh>
    <rPh sb="2" eb="4">
      <t>ヤクヒン</t>
    </rPh>
    <rPh sb="5" eb="7">
      <t>シセツ</t>
    </rPh>
    <rPh sb="7" eb="8">
      <t>ヨウ</t>
    </rPh>
    <rPh sb="8" eb="10">
      <t>ショウモウ</t>
    </rPh>
    <rPh sb="10" eb="12">
      <t>シザイ</t>
    </rPh>
    <phoneticPr fontId="2"/>
  </si>
  <si>
    <t>鉄鋼・非鉄・鋳鉄類</t>
    <rPh sb="0" eb="2">
      <t>テッコウ</t>
    </rPh>
    <rPh sb="3" eb="4">
      <t>ヒ</t>
    </rPh>
    <rPh sb="4" eb="5">
      <t>テツ</t>
    </rPh>
    <rPh sb="6" eb="8">
      <t>チュウテツ</t>
    </rPh>
    <rPh sb="8" eb="9">
      <t>ルイ</t>
    </rPh>
    <phoneticPr fontId="2"/>
  </si>
  <si>
    <t>コンクリート・セメント・舗装材類</t>
    <rPh sb="12" eb="14">
      <t>ホソウ</t>
    </rPh>
    <rPh sb="14" eb="15">
      <t>ザイ</t>
    </rPh>
    <rPh sb="15" eb="16">
      <t>ルイ</t>
    </rPh>
    <phoneticPr fontId="2"/>
  </si>
  <si>
    <t>運動具</t>
    <rPh sb="0" eb="3">
      <t>ウンドウグ</t>
    </rPh>
    <phoneticPr fontId="2"/>
  </si>
  <si>
    <t>徽章・記念品・贈答品類</t>
    <rPh sb="0" eb="2">
      <t>キショウ</t>
    </rPh>
    <rPh sb="3" eb="6">
      <t>キネンヒン</t>
    </rPh>
    <rPh sb="7" eb="10">
      <t>ゾウトウヒン</t>
    </rPh>
    <rPh sb="10" eb="11">
      <t>ルイ</t>
    </rPh>
    <phoneticPr fontId="2"/>
  </si>
  <si>
    <t>被服・繊維・寝具（警察官用を除く）</t>
    <rPh sb="0" eb="2">
      <t>ヒフク</t>
    </rPh>
    <rPh sb="3" eb="5">
      <t>センイ</t>
    </rPh>
    <rPh sb="6" eb="8">
      <t>シング</t>
    </rPh>
    <rPh sb="9" eb="12">
      <t>ケイサツカン</t>
    </rPh>
    <rPh sb="12" eb="13">
      <t>ヨウ</t>
    </rPh>
    <rPh sb="14" eb="15">
      <t>ノゾ</t>
    </rPh>
    <phoneticPr fontId="2"/>
  </si>
  <si>
    <t>消防・防災・保安用品（警察官用を除く）</t>
    <rPh sb="0" eb="2">
      <t>ショウボウ</t>
    </rPh>
    <rPh sb="3" eb="5">
      <t>ボウサイ</t>
    </rPh>
    <rPh sb="6" eb="8">
      <t>ホアン</t>
    </rPh>
    <rPh sb="8" eb="10">
      <t>ヨウヒン</t>
    </rPh>
    <rPh sb="11" eb="13">
      <t>ケイサツ</t>
    </rPh>
    <rPh sb="13" eb="14">
      <t>カン</t>
    </rPh>
    <rPh sb="14" eb="15">
      <t>ヨウ</t>
    </rPh>
    <rPh sb="16" eb="17">
      <t>ノゾ</t>
    </rPh>
    <phoneticPr fontId="2"/>
  </si>
  <si>
    <t>警察官用被服（防護衣を除く）</t>
    <rPh sb="0" eb="3">
      <t>ケイサツカン</t>
    </rPh>
    <rPh sb="3" eb="4">
      <t>ヨウ</t>
    </rPh>
    <rPh sb="4" eb="6">
      <t>ヒフク</t>
    </rPh>
    <rPh sb="7" eb="9">
      <t>ボウゴ</t>
    </rPh>
    <rPh sb="9" eb="10">
      <t>ギヌ</t>
    </rPh>
    <rPh sb="11" eb="12">
      <t>ノゾ</t>
    </rPh>
    <phoneticPr fontId="2"/>
  </si>
  <si>
    <t>警察官用装備品</t>
    <rPh sb="0" eb="2">
      <t>ケイサツ</t>
    </rPh>
    <rPh sb="2" eb="3">
      <t>カン</t>
    </rPh>
    <rPh sb="3" eb="4">
      <t>ヨウ</t>
    </rPh>
    <rPh sb="4" eb="7">
      <t>ソウビヒン</t>
    </rPh>
    <phoneticPr fontId="2"/>
  </si>
  <si>
    <t>看板・旗類等</t>
    <rPh sb="0" eb="1">
      <t>ミ</t>
    </rPh>
    <rPh sb="1" eb="2">
      <t>イタ</t>
    </rPh>
    <rPh sb="3" eb="4">
      <t>ハタ</t>
    </rPh>
    <rPh sb="4" eb="5">
      <t>ルイ</t>
    </rPh>
    <rPh sb="5" eb="6">
      <t>トウ</t>
    </rPh>
    <phoneticPr fontId="2"/>
  </si>
  <si>
    <t>車両・船舶・航空機装備品</t>
    <rPh sb="0" eb="2">
      <t>シャリョウ</t>
    </rPh>
    <rPh sb="3" eb="5">
      <t>センパク</t>
    </rPh>
    <rPh sb="6" eb="9">
      <t>コウクウキ</t>
    </rPh>
    <rPh sb="9" eb="12">
      <t>ソウビヒン</t>
    </rPh>
    <phoneticPr fontId="2"/>
  </si>
  <si>
    <t>201</t>
  </si>
  <si>
    <t>新潟市</t>
  </si>
  <si>
    <t>202</t>
  </si>
  <si>
    <t>長岡市</t>
  </si>
  <si>
    <t>204</t>
  </si>
  <si>
    <t>三条市</t>
  </si>
  <si>
    <t>205</t>
  </si>
  <si>
    <t>柏崎市</t>
  </si>
  <si>
    <t>206</t>
  </si>
  <si>
    <t>新発田市</t>
  </si>
  <si>
    <t>208</t>
  </si>
  <si>
    <t>小千谷市</t>
  </si>
  <si>
    <t>209</t>
  </si>
  <si>
    <t>加茂市</t>
  </si>
  <si>
    <t>210</t>
  </si>
  <si>
    <t>十日町市</t>
  </si>
  <si>
    <t>211</t>
  </si>
  <si>
    <t>見附市</t>
  </si>
  <si>
    <t>212</t>
  </si>
  <si>
    <t>村上市</t>
  </si>
  <si>
    <t>213</t>
  </si>
  <si>
    <t>燕市</t>
  </si>
  <si>
    <t>216</t>
  </si>
  <si>
    <t>糸魚川市</t>
  </si>
  <si>
    <t>217</t>
  </si>
  <si>
    <t>218</t>
  </si>
  <si>
    <t>五泉市</t>
  </si>
  <si>
    <t>222</t>
  </si>
  <si>
    <t>上越市</t>
  </si>
  <si>
    <t>223</t>
  </si>
  <si>
    <t>阿賀野市</t>
  </si>
  <si>
    <t>224</t>
  </si>
  <si>
    <t>佐渡市</t>
  </si>
  <si>
    <t>225</t>
  </si>
  <si>
    <t>226</t>
  </si>
  <si>
    <t>南魚沼市</t>
  </si>
  <si>
    <t>227</t>
  </si>
  <si>
    <t>胎内市</t>
  </si>
  <si>
    <t>307</t>
  </si>
  <si>
    <t>聖籠町</t>
  </si>
  <si>
    <t>342</t>
  </si>
  <si>
    <t>弥彦村</t>
  </si>
  <si>
    <t>361</t>
  </si>
  <si>
    <t>田上町</t>
  </si>
  <si>
    <t>385</t>
  </si>
  <si>
    <t>阿賀町</t>
  </si>
  <si>
    <t>405</t>
  </si>
  <si>
    <t>出雲崎町</t>
  </si>
  <si>
    <t>461</t>
  </si>
  <si>
    <t>湯沢町</t>
  </si>
  <si>
    <t>482</t>
  </si>
  <si>
    <t>津南町</t>
  </si>
  <si>
    <t>504</t>
  </si>
  <si>
    <t>刈羽村</t>
  </si>
  <si>
    <t>581</t>
  </si>
  <si>
    <t>関川村</t>
  </si>
  <si>
    <t>586</t>
  </si>
  <si>
    <t>粟島浦村</t>
  </si>
  <si>
    <t>999</t>
  </si>
  <si>
    <t>県外</t>
  </si>
  <si>
    <t>○</t>
    <phoneticPr fontId="2"/>
  </si>
  <si>
    <t>×</t>
    <phoneticPr fontId="2"/>
  </si>
  <si>
    <t>代理人住所</t>
    <rPh sb="0" eb="3">
      <t>ダイリニン</t>
    </rPh>
    <rPh sb="3" eb="5">
      <t>ジュウショ</t>
    </rPh>
    <phoneticPr fontId="2"/>
  </si>
  <si>
    <t>月</t>
    <rPh sb="0" eb="1">
      <t>ガツ</t>
    </rPh>
    <phoneticPr fontId="2"/>
  </si>
  <si>
    <t>日</t>
    <rPh sb="0" eb="1">
      <t>ニチ</t>
    </rPh>
    <phoneticPr fontId="2"/>
  </si>
  <si>
    <t>送付先名称</t>
    <rPh sb="0" eb="2">
      <t>ソウフ</t>
    </rPh>
    <rPh sb="2" eb="3">
      <t>サキ</t>
    </rPh>
    <rPh sb="3" eb="5">
      <t>メイショウ</t>
    </rPh>
    <phoneticPr fontId="2"/>
  </si>
  <si>
    <t>工業用薬品・施設用</t>
    <rPh sb="0" eb="2">
      <t>コウギョウ</t>
    </rPh>
    <rPh sb="2" eb="3">
      <t>ヨウ</t>
    </rPh>
    <rPh sb="3" eb="5">
      <t>ヤクヒン</t>
    </rPh>
    <rPh sb="6" eb="9">
      <t>シセツヨウ</t>
    </rPh>
    <phoneticPr fontId="2"/>
  </si>
  <si>
    <t>車両・船舶・航空機</t>
    <rPh sb="0" eb="2">
      <t>シャリョウ</t>
    </rPh>
    <rPh sb="3" eb="5">
      <t>センパク</t>
    </rPh>
    <rPh sb="6" eb="9">
      <t>コウクウキ</t>
    </rPh>
    <phoneticPr fontId="2"/>
  </si>
  <si>
    <t>徽章・記念品・贈答品</t>
    <rPh sb="0" eb="2">
      <t>キショウ</t>
    </rPh>
    <rPh sb="3" eb="6">
      <t>キネンヒン</t>
    </rPh>
    <rPh sb="7" eb="10">
      <t>ゾウトウヒン</t>
    </rPh>
    <phoneticPr fontId="2"/>
  </si>
  <si>
    <t>写真機器・写真用</t>
    <rPh sb="0" eb="2">
      <t>シャシン</t>
    </rPh>
    <rPh sb="2" eb="4">
      <t>キキ</t>
    </rPh>
    <rPh sb="5" eb="7">
      <t>シャシン</t>
    </rPh>
    <rPh sb="7" eb="8">
      <t>ヨウ</t>
    </rPh>
    <phoneticPr fontId="2"/>
  </si>
  <si>
    <t>人</t>
    <rPh sb="0" eb="1">
      <t>ニン</t>
    </rPh>
    <phoneticPr fontId="2"/>
  </si>
  <si>
    <t>第１号様式</t>
    <rPh sb="0" eb="1">
      <t>ダイ</t>
    </rPh>
    <rPh sb="2" eb="3">
      <t>ゴウ</t>
    </rPh>
    <rPh sb="3" eb="5">
      <t>ヨウシキ</t>
    </rPh>
    <phoneticPr fontId="2"/>
  </si>
  <si>
    <t>日</t>
    <rPh sb="0" eb="1">
      <t>ヒ</t>
    </rPh>
    <phoneticPr fontId="2"/>
  </si>
  <si>
    <t>月</t>
    <rPh sb="0" eb="1">
      <t>ツキ</t>
    </rPh>
    <phoneticPr fontId="2"/>
  </si>
  <si>
    <t>年</t>
    <rPh sb="0" eb="1">
      <t>ネン</t>
    </rPh>
    <phoneticPr fontId="2"/>
  </si>
  <si>
    <t>郵便番号</t>
    <rPh sb="0" eb="2">
      <t>ユウビン</t>
    </rPh>
    <rPh sb="2" eb="4">
      <t>バンゴウ</t>
    </rPh>
    <phoneticPr fontId="2"/>
  </si>
  <si>
    <t>氏名</t>
    <rPh sb="0" eb="2">
      <t>シメイ</t>
    </rPh>
    <phoneticPr fontId="2"/>
  </si>
  <si>
    <t>営業区分</t>
    <rPh sb="0" eb="2">
      <t>エイギョウ</t>
    </rPh>
    <rPh sb="2" eb="4">
      <t>クブン</t>
    </rPh>
    <phoneticPr fontId="2"/>
  </si>
  <si>
    <t>営業概要</t>
    <rPh sb="0" eb="2">
      <t>エイギョウ</t>
    </rPh>
    <rPh sb="2" eb="4">
      <t>ガイヨウ</t>
    </rPh>
    <phoneticPr fontId="2"/>
  </si>
  <si>
    <t>コード番号</t>
    <rPh sb="3" eb="5">
      <t>バンゴウ</t>
    </rPh>
    <phoneticPr fontId="2"/>
  </si>
  <si>
    <t>大分類</t>
    <rPh sb="0" eb="3">
      <t>ダイブンルイ</t>
    </rPh>
    <phoneticPr fontId="2"/>
  </si>
  <si>
    <t>文具事務機器類</t>
    <rPh sb="0" eb="2">
      <t>ブング</t>
    </rPh>
    <rPh sb="2" eb="4">
      <t>ジム</t>
    </rPh>
    <rPh sb="4" eb="7">
      <t>キキルイ</t>
    </rPh>
    <phoneticPr fontId="2"/>
  </si>
  <si>
    <t>印刷・印章類</t>
    <rPh sb="0" eb="2">
      <t>インサツ</t>
    </rPh>
    <rPh sb="3" eb="5">
      <t>インショウ</t>
    </rPh>
    <rPh sb="5" eb="6">
      <t>ルイ</t>
    </rPh>
    <phoneticPr fontId="2"/>
  </si>
  <si>
    <t>機械類</t>
    <rPh sb="0" eb="2">
      <t>キカイ</t>
    </rPh>
    <rPh sb="2" eb="3">
      <t>ルイ</t>
    </rPh>
    <phoneticPr fontId="2"/>
  </si>
  <si>
    <t>車両・船舶類</t>
    <rPh sb="0" eb="2">
      <t>シャリョウ</t>
    </rPh>
    <rPh sb="3" eb="5">
      <t>センパク</t>
    </rPh>
    <rPh sb="5" eb="6">
      <t>ルイ</t>
    </rPh>
    <phoneticPr fontId="2"/>
  </si>
  <si>
    <t>燃料・油脂類</t>
    <rPh sb="0" eb="2">
      <t>ネンリョウ</t>
    </rPh>
    <rPh sb="3" eb="5">
      <t>ユシ</t>
    </rPh>
    <rPh sb="5" eb="6">
      <t>ルイ</t>
    </rPh>
    <phoneticPr fontId="2"/>
  </si>
  <si>
    <t>雑類</t>
    <rPh sb="0" eb="1">
      <t>ザツ</t>
    </rPh>
    <rPh sb="1" eb="2">
      <t>ルイ</t>
    </rPh>
    <phoneticPr fontId="2"/>
  </si>
  <si>
    <t>中分類</t>
    <rPh sb="0" eb="1">
      <t>チュウ</t>
    </rPh>
    <rPh sb="1" eb="3">
      <t>ブンルイ</t>
    </rPh>
    <phoneticPr fontId="2"/>
  </si>
  <si>
    <t>用紙</t>
    <rPh sb="0" eb="2">
      <t>ヨウシ</t>
    </rPh>
    <phoneticPr fontId="2"/>
  </si>
  <si>
    <t>上質紙・中質紙</t>
    <rPh sb="0" eb="2">
      <t>ジョウシツ</t>
    </rPh>
    <rPh sb="2" eb="3">
      <t>シ</t>
    </rPh>
    <rPh sb="4" eb="5">
      <t>チュウ</t>
    </rPh>
    <rPh sb="5" eb="6">
      <t>シツ</t>
    </rPh>
    <rPh sb="6" eb="7">
      <t>シ</t>
    </rPh>
    <phoneticPr fontId="2"/>
  </si>
  <si>
    <t>ＰＰＣ用紙</t>
    <rPh sb="3" eb="5">
      <t>ヨウシ</t>
    </rPh>
    <phoneticPr fontId="2"/>
  </si>
  <si>
    <t>加工紙</t>
    <rPh sb="0" eb="2">
      <t>カコウ</t>
    </rPh>
    <rPh sb="2" eb="3">
      <t>カミ</t>
    </rPh>
    <phoneticPr fontId="2"/>
  </si>
  <si>
    <t>和紙</t>
    <rPh sb="0" eb="2">
      <t>ワシ</t>
    </rPh>
    <phoneticPr fontId="2"/>
  </si>
  <si>
    <t>文具・事務機器</t>
    <rPh sb="0" eb="2">
      <t>ブング</t>
    </rPh>
    <rPh sb="3" eb="5">
      <t>ジム</t>
    </rPh>
    <rPh sb="5" eb="7">
      <t>キキ</t>
    </rPh>
    <phoneticPr fontId="2"/>
  </si>
  <si>
    <t>製図台</t>
  </si>
  <si>
    <t>パソコン周辺機器</t>
    <rPh sb="4" eb="6">
      <t>シュウヘン</t>
    </rPh>
    <rPh sb="6" eb="8">
      <t>キキ</t>
    </rPh>
    <phoneticPr fontId="2"/>
  </si>
  <si>
    <t>複写機・（点字）印刷機</t>
    <rPh sb="0" eb="3">
      <t>フクシャキ</t>
    </rPh>
    <rPh sb="5" eb="7">
      <t>テンジ</t>
    </rPh>
    <rPh sb="8" eb="11">
      <t>インサツキ</t>
    </rPh>
    <phoneticPr fontId="2"/>
  </si>
  <si>
    <t>ＯＡ消耗品</t>
    <rPh sb="2" eb="5">
      <t>ショウモウヒン</t>
    </rPh>
    <phoneticPr fontId="2"/>
  </si>
  <si>
    <t>その他事務機器</t>
    <rPh sb="2" eb="3">
      <t>タ</t>
    </rPh>
    <rPh sb="3" eb="5">
      <t>ジム</t>
    </rPh>
    <rPh sb="5" eb="7">
      <t>キキ</t>
    </rPh>
    <phoneticPr fontId="2"/>
  </si>
  <si>
    <t>家具類</t>
    <rPh sb="0" eb="2">
      <t>カグ</t>
    </rPh>
    <rPh sb="2" eb="3">
      <t>ルイ</t>
    </rPh>
    <phoneticPr fontId="2"/>
  </si>
  <si>
    <t>家具</t>
    <rPh sb="0" eb="2">
      <t>カグ</t>
    </rPh>
    <phoneticPr fontId="2"/>
  </si>
  <si>
    <t>木製家具</t>
    <rPh sb="0" eb="2">
      <t>モクセイ</t>
    </rPh>
    <rPh sb="2" eb="4">
      <t>カグ</t>
    </rPh>
    <phoneticPr fontId="2"/>
  </si>
  <si>
    <t>スチール家具</t>
    <rPh sb="4" eb="6">
      <t>カグ</t>
    </rPh>
    <phoneticPr fontId="2"/>
  </si>
  <si>
    <t>図書館用什器</t>
    <rPh sb="0" eb="3">
      <t>トショカン</t>
    </rPh>
    <rPh sb="3" eb="4">
      <t>ヨウ</t>
    </rPh>
    <rPh sb="4" eb="6">
      <t>ジュウキ</t>
    </rPh>
    <phoneticPr fontId="2"/>
  </si>
  <si>
    <t>美術館用什器</t>
    <rPh sb="0" eb="3">
      <t>ビジュツカン</t>
    </rPh>
    <rPh sb="3" eb="4">
      <t>ヨウ</t>
    </rPh>
    <rPh sb="4" eb="6">
      <t>ジュウキ</t>
    </rPh>
    <phoneticPr fontId="2"/>
  </si>
  <si>
    <t>移動棚</t>
    <rPh sb="0" eb="2">
      <t>イドウ</t>
    </rPh>
    <rPh sb="2" eb="3">
      <t>タナ</t>
    </rPh>
    <phoneticPr fontId="2"/>
  </si>
  <si>
    <t>実験台</t>
    <rPh sb="0" eb="2">
      <t>ジッケン</t>
    </rPh>
    <rPh sb="2" eb="3">
      <t>ダイ</t>
    </rPh>
    <phoneticPr fontId="2"/>
  </si>
  <si>
    <t>簡易間仕切り</t>
    <rPh sb="0" eb="2">
      <t>カンイ</t>
    </rPh>
    <rPh sb="2" eb="5">
      <t>マジキ</t>
    </rPh>
    <phoneticPr fontId="2"/>
  </si>
  <si>
    <t>その他家具類</t>
    <rPh sb="2" eb="3">
      <t>タ</t>
    </rPh>
    <rPh sb="3" eb="5">
      <t>カグ</t>
    </rPh>
    <rPh sb="5" eb="6">
      <t>ルイ</t>
    </rPh>
    <phoneticPr fontId="2"/>
  </si>
  <si>
    <t>軽印刷</t>
    <rPh sb="0" eb="1">
      <t>ケイ</t>
    </rPh>
    <rPh sb="1" eb="3">
      <t>インサツ</t>
    </rPh>
    <phoneticPr fontId="2"/>
  </si>
  <si>
    <t>会議資料・報告書</t>
    <rPh sb="0" eb="2">
      <t>カイギ</t>
    </rPh>
    <rPh sb="2" eb="4">
      <t>シリョウ</t>
    </rPh>
    <rPh sb="5" eb="8">
      <t>ホウコクショ</t>
    </rPh>
    <phoneticPr fontId="2"/>
  </si>
  <si>
    <t>冊子・パンフ・チラシ</t>
    <rPh sb="0" eb="2">
      <t>サッシ</t>
    </rPh>
    <phoneticPr fontId="2"/>
  </si>
  <si>
    <t>名入封筒</t>
    <rPh sb="0" eb="1">
      <t>ナ</t>
    </rPh>
    <rPh sb="1" eb="2">
      <t>イ</t>
    </rPh>
    <rPh sb="2" eb="4">
      <t>フウトウ</t>
    </rPh>
    <phoneticPr fontId="2"/>
  </si>
  <si>
    <t>その他軽印刷</t>
    <rPh sb="2" eb="3">
      <t>タ</t>
    </rPh>
    <rPh sb="3" eb="4">
      <t>ケイ</t>
    </rPh>
    <rPh sb="4" eb="6">
      <t>インサツ</t>
    </rPh>
    <phoneticPr fontId="2"/>
  </si>
  <si>
    <t>複写伝票</t>
    <rPh sb="0" eb="2">
      <t>フクシャ</t>
    </rPh>
    <rPh sb="2" eb="4">
      <t>デンピョウ</t>
    </rPh>
    <phoneticPr fontId="2"/>
  </si>
  <si>
    <t>地図（管内図）等</t>
    <rPh sb="0" eb="2">
      <t>チズ</t>
    </rPh>
    <rPh sb="3" eb="5">
      <t>カンナイ</t>
    </rPh>
    <rPh sb="5" eb="6">
      <t>ズ</t>
    </rPh>
    <rPh sb="7" eb="8">
      <t>トウ</t>
    </rPh>
    <phoneticPr fontId="2"/>
  </si>
  <si>
    <t>[軽・フォーム以外の印刷]</t>
    <rPh sb="1" eb="2">
      <t>ケイ</t>
    </rPh>
    <rPh sb="7" eb="9">
      <t>イガイ</t>
    </rPh>
    <rPh sb="10" eb="12">
      <t>インサツ</t>
    </rPh>
    <phoneticPr fontId="2"/>
  </si>
  <si>
    <t>カード・包装印刷</t>
    <rPh sb="4" eb="6">
      <t>ホウソウ</t>
    </rPh>
    <rPh sb="6" eb="8">
      <t>インサツ</t>
    </rPh>
    <phoneticPr fontId="2"/>
  </si>
  <si>
    <t>フォーム印刷</t>
    <rPh sb="4" eb="6">
      <t>インサツ</t>
    </rPh>
    <phoneticPr fontId="2"/>
  </si>
  <si>
    <t>圧着はがき</t>
    <rPh sb="0" eb="2">
      <t>アッチャク</t>
    </rPh>
    <phoneticPr fontId="2"/>
  </si>
  <si>
    <t>OCR用紙</t>
    <rPh sb="3" eb="5">
      <t>ヨウシ</t>
    </rPh>
    <phoneticPr fontId="2"/>
  </si>
  <si>
    <t>OMR用紙</t>
    <rPh sb="3" eb="5">
      <t>ヨウシ</t>
    </rPh>
    <phoneticPr fontId="2"/>
  </si>
  <si>
    <t>その他連続用紙</t>
    <rPh sb="2" eb="3">
      <t>タ</t>
    </rPh>
    <rPh sb="3" eb="5">
      <t>レンゾク</t>
    </rPh>
    <rPh sb="5" eb="7">
      <t>ヨウシ</t>
    </rPh>
    <phoneticPr fontId="2"/>
  </si>
  <si>
    <t>その他フォーム印刷</t>
    <rPh sb="2" eb="3">
      <t>タ</t>
    </rPh>
    <rPh sb="7" eb="9">
      <t>インサツ</t>
    </rPh>
    <phoneticPr fontId="2"/>
  </si>
  <si>
    <t>青写真</t>
    <rPh sb="0" eb="1">
      <t>アオ</t>
    </rPh>
    <rPh sb="1" eb="3">
      <t>シャシン</t>
    </rPh>
    <phoneticPr fontId="2"/>
  </si>
  <si>
    <t>焼付</t>
    <rPh sb="0" eb="2">
      <t>ヤキツ</t>
    </rPh>
    <phoneticPr fontId="2"/>
  </si>
  <si>
    <t>その他青写真</t>
    <rPh sb="2" eb="3">
      <t>タ</t>
    </rPh>
    <rPh sb="3" eb="4">
      <t>アオ</t>
    </rPh>
    <rPh sb="4" eb="6">
      <t>シャシン</t>
    </rPh>
    <phoneticPr fontId="2"/>
  </si>
  <si>
    <t>印章</t>
    <rPh sb="0" eb="2">
      <t>インショウ</t>
    </rPh>
    <phoneticPr fontId="2"/>
  </si>
  <si>
    <t>印鑑</t>
    <rPh sb="0" eb="2">
      <t>インカン</t>
    </rPh>
    <phoneticPr fontId="2"/>
  </si>
  <si>
    <t>ゴム印</t>
    <rPh sb="2" eb="3">
      <t>イン</t>
    </rPh>
    <phoneticPr fontId="2"/>
  </si>
  <si>
    <t>その他印章類</t>
    <rPh sb="2" eb="3">
      <t>タ</t>
    </rPh>
    <rPh sb="3" eb="5">
      <t>インショウ</t>
    </rPh>
    <rPh sb="5" eb="6">
      <t>ルイ</t>
    </rPh>
    <phoneticPr fontId="2"/>
  </si>
  <si>
    <t>電気・通信機器</t>
    <rPh sb="0" eb="2">
      <t>デンキ</t>
    </rPh>
    <rPh sb="3" eb="5">
      <t>ツウシン</t>
    </rPh>
    <rPh sb="5" eb="7">
      <t>キキ</t>
    </rPh>
    <phoneticPr fontId="2"/>
  </si>
  <si>
    <t>家庭用電化製品</t>
    <rPh sb="0" eb="2">
      <t>カテイ</t>
    </rPh>
    <rPh sb="2" eb="3">
      <t>ヨウ</t>
    </rPh>
    <rPh sb="3" eb="5">
      <t>デンカ</t>
    </rPh>
    <rPh sb="5" eb="7">
      <t>セイヒン</t>
    </rPh>
    <phoneticPr fontId="2"/>
  </si>
  <si>
    <t>ビデオ編集機器</t>
    <rPh sb="3" eb="5">
      <t>ヘンシュウ</t>
    </rPh>
    <rPh sb="5" eb="7">
      <t>キキ</t>
    </rPh>
    <phoneticPr fontId="2"/>
  </si>
  <si>
    <t>放送・視聴覚機器</t>
    <rPh sb="0" eb="2">
      <t>ホウソウ</t>
    </rPh>
    <rPh sb="3" eb="6">
      <t>シチョウカク</t>
    </rPh>
    <rPh sb="6" eb="8">
      <t>キキ</t>
    </rPh>
    <phoneticPr fontId="2"/>
  </si>
  <si>
    <t>電話関係機器</t>
    <rPh sb="0" eb="2">
      <t>デンワ</t>
    </rPh>
    <rPh sb="2" eb="4">
      <t>カンケイ</t>
    </rPh>
    <rPh sb="4" eb="6">
      <t>キキ</t>
    </rPh>
    <phoneticPr fontId="2"/>
  </si>
  <si>
    <t>無線関係機器</t>
    <rPh sb="0" eb="2">
      <t>ムセン</t>
    </rPh>
    <rPh sb="2" eb="4">
      <t>カンケイ</t>
    </rPh>
    <rPh sb="4" eb="6">
      <t>キキ</t>
    </rPh>
    <phoneticPr fontId="2"/>
  </si>
  <si>
    <t>監視カメラ</t>
    <rPh sb="0" eb="2">
      <t>カンシ</t>
    </rPh>
    <phoneticPr fontId="2"/>
  </si>
  <si>
    <t>警報装置</t>
    <rPh sb="0" eb="2">
      <t>ケイホウ</t>
    </rPh>
    <rPh sb="2" eb="4">
      <t>ソウチ</t>
    </rPh>
    <phoneticPr fontId="2"/>
  </si>
  <si>
    <t>照明機器</t>
    <rPh sb="0" eb="2">
      <t>ショウメイ</t>
    </rPh>
    <rPh sb="2" eb="4">
      <t>キキ</t>
    </rPh>
    <phoneticPr fontId="2"/>
  </si>
  <si>
    <t>その他電気・通信機器</t>
    <rPh sb="2" eb="3">
      <t>タ</t>
    </rPh>
    <rPh sb="3" eb="5">
      <t>デンキ</t>
    </rPh>
    <rPh sb="6" eb="8">
      <t>ツウシン</t>
    </rPh>
    <rPh sb="8" eb="10">
      <t>キキ</t>
    </rPh>
    <phoneticPr fontId="2"/>
  </si>
  <si>
    <t>医療機器</t>
    <rPh sb="0" eb="2">
      <t>イリョウ</t>
    </rPh>
    <rPh sb="2" eb="4">
      <t>キキ</t>
    </rPh>
    <phoneticPr fontId="2"/>
  </si>
  <si>
    <t>生体検査機器</t>
    <rPh sb="0" eb="2">
      <t>セイタイ</t>
    </rPh>
    <rPh sb="2" eb="4">
      <t>ケンサ</t>
    </rPh>
    <rPh sb="4" eb="6">
      <t>キキ</t>
    </rPh>
    <phoneticPr fontId="2"/>
  </si>
  <si>
    <t>検体検査機器</t>
    <rPh sb="0" eb="2">
      <t>ケンタイ</t>
    </rPh>
    <rPh sb="2" eb="4">
      <t>ケンサ</t>
    </rPh>
    <rPh sb="4" eb="6">
      <t>キキ</t>
    </rPh>
    <phoneticPr fontId="2"/>
  </si>
  <si>
    <t>治療用機器</t>
    <rPh sb="0" eb="2">
      <t>チリョウ</t>
    </rPh>
    <rPh sb="2" eb="3">
      <t>ヨウ</t>
    </rPh>
    <rPh sb="3" eb="5">
      <t>キキ</t>
    </rPh>
    <phoneticPr fontId="2"/>
  </si>
  <si>
    <t>放射線関連機器</t>
    <rPh sb="0" eb="3">
      <t>ホウシャセン</t>
    </rPh>
    <rPh sb="3" eb="5">
      <t>カンレン</t>
    </rPh>
    <rPh sb="5" eb="7">
      <t>キキ</t>
    </rPh>
    <phoneticPr fontId="2"/>
  </si>
  <si>
    <t>手術関連機器</t>
    <rPh sb="0" eb="2">
      <t>シュジュツ</t>
    </rPh>
    <rPh sb="2" eb="4">
      <t>カンレン</t>
    </rPh>
    <rPh sb="4" eb="6">
      <t>キキ</t>
    </rPh>
    <phoneticPr fontId="2"/>
  </si>
  <si>
    <t>調剤機器</t>
    <rPh sb="0" eb="2">
      <t>チョウザイ</t>
    </rPh>
    <rPh sb="2" eb="4">
      <t>キキ</t>
    </rPh>
    <phoneticPr fontId="2"/>
  </si>
  <si>
    <t>歯科用機器</t>
    <rPh sb="0" eb="2">
      <t>シカ</t>
    </rPh>
    <rPh sb="2" eb="3">
      <t>ヨウ</t>
    </rPh>
    <rPh sb="3" eb="5">
      <t>キキ</t>
    </rPh>
    <phoneticPr fontId="2"/>
  </si>
  <si>
    <t>その他医療機器</t>
    <rPh sb="2" eb="3">
      <t>タ</t>
    </rPh>
    <rPh sb="3" eb="5">
      <t>イリョウ</t>
    </rPh>
    <rPh sb="5" eb="7">
      <t>キキ</t>
    </rPh>
    <phoneticPr fontId="2"/>
  </si>
  <si>
    <t>理化学機器</t>
    <rPh sb="0" eb="3">
      <t>リカガク</t>
    </rPh>
    <rPh sb="3" eb="5">
      <t>キキ</t>
    </rPh>
    <phoneticPr fontId="2"/>
  </si>
  <si>
    <t>分析機器（光）</t>
    <rPh sb="0" eb="2">
      <t>ブンセキ</t>
    </rPh>
    <rPh sb="2" eb="4">
      <t>キキ</t>
    </rPh>
    <rPh sb="5" eb="6">
      <t>ヒカリ</t>
    </rPh>
    <phoneticPr fontId="2"/>
  </si>
  <si>
    <t>分析機器（その他）</t>
    <rPh sb="0" eb="2">
      <t>ブンセキ</t>
    </rPh>
    <rPh sb="2" eb="4">
      <t>キキ</t>
    </rPh>
    <rPh sb="7" eb="8">
      <t>タ</t>
    </rPh>
    <phoneticPr fontId="2"/>
  </si>
  <si>
    <t>電子顕微鏡</t>
    <rPh sb="0" eb="2">
      <t>デンシ</t>
    </rPh>
    <rPh sb="2" eb="5">
      <t>ケンビキョウ</t>
    </rPh>
    <phoneticPr fontId="2"/>
  </si>
  <si>
    <t>光学顕微鏡</t>
    <rPh sb="0" eb="2">
      <t>コウガク</t>
    </rPh>
    <rPh sb="2" eb="5">
      <t>ケンビキョウ</t>
    </rPh>
    <phoneticPr fontId="2"/>
  </si>
  <si>
    <t>レーザー顕微鏡</t>
    <rPh sb="4" eb="7">
      <t>ケンビキョウ</t>
    </rPh>
    <phoneticPr fontId="2"/>
  </si>
  <si>
    <t>工業用ファイバースコープ</t>
    <rPh sb="0" eb="3">
      <t>コウギョウヨウ</t>
    </rPh>
    <phoneticPr fontId="2"/>
  </si>
  <si>
    <t>実験機器</t>
    <rPh sb="0" eb="2">
      <t>ジッケン</t>
    </rPh>
    <rPh sb="2" eb="4">
      <t>キキ</t>
    </rPh>
    <phoneticPr fontId="2"/>
  </si>
  <si>
    <t>その他理化学機器</t>
    <rPh sb="2" eb="3">
      <t>タ</t>
    </rPh>
    <rPh sb="3" eb="6">
      <t>リカガク</t>
    </rPh>
    <rPh sb="6" eb="8">
      <t>キキ</t>
    </rPh>
    <phoneticPr fontId="2"/>
  </si>
  <si>
    <t>計測機器</t>
    <rPh sb="0" eb="2">
      <t>ケイソク</t>
    </rPh>
    <rPh sb="2" eb="4">
      <t>キキ</t>
    </rPh>
    <phoneticPr fontId="2"/>
  </si>
  <si>
    <t>気象用計測機器</t>
    <rPh sb="0" eb="3">
      <t>キショウヨウ</t>
    </rPh>
    <rPh sb="3" eb="5">
      <t>ケイソク</t>
    </rPh>
    <rPh sb="5" eb="7">
      <t>キキ</t>
    </rPh>
    <phoneticPr fontId="2"/>
  </si>
  <si>
    <t>測量用計測機器</t>
    <rPh sb="0" eb="3">
      <t>ソクリョウヨウ</t>
    </rPh>
    <rPh sb="3" eb="5">
      <t>ケイソク</t>
    </rPh>
    <rPh sb="5" eb="7">
      <t>キキ</t>
    </rPh>
    <phoneticPr fontId="2"/>
  </si>
  <si>
    <t>大気測定機器</t>
    <rPh sb="0" eb="2">
      <t>タイキ</t>
    </rPh>
    <rPh sb="2" eb="4">
      <t>ソクテイ</t>
    </rPh>
    <rPh sb="4" eb="6">
      <t>キキ</t>
    </rPh>
    <phoneticPr fontId="2"/>
  </si>
  <si>
    <t>水質測定機器</t>
    <rPh sb="0" eb="2">
      <t>スイシツ</t>
    </rPh>
    <rPh sb="2" eb="4">
      <t>ソクテイ</t>
    </rPh>
    <rPh sb="4" eb="6">
      <t>キキ</t>
    </rPh>
    <phoneticPr fontId="2"/>
  </si>
  <si>
    <t>振動・音響測定機器</t>
    <rPh sb="0" eb="2">
      <t>シンドウ</t>
    </rPh>
    <rPh sb="3" eb="5">
      <t>オンキョウ</t>
    </rPh>
    <rPh sb="5" eb="7">
      <t>ソクテイ</t>
    </rPh>
    <rPh sb="7" eb="9">
      <t>キキ</t>
    </rPh>
    <phoneticPr fontId="2"/>
  </si>
  <si>
    <t>放射線測定機器</t>
    <rPh sb="0" eb="3">
      <t>ホウシャセン</t>
    </rPh>
    <rPh sb="3" eb="5">
      <t>ソクテイ</t>
    </rPh>
    <rPh sb="5" eb="7">
      <t>キキ</t>
    </rPh>
    <phoneticPr fontId="2"/>
  </si>
  <si>
    <t>電気・磁気測定機器</t>
    <rPh sb="0" eb="2">
      <t>デンキ</t>
    </rPh>
    <rPh sb="3" eb="5">
      <t>ジキ</t>
    </rPh>
    <rPh sb="5" eb="7">
      <t>ソクテイ</t>
    </rPh>
    <rPh sb="7" eb="9">
      <t>キキ</t>
    </rPh>
    <phoneticPr fontId="2"/>
  </si>
  <si>
    <t>速度測定機器</t>
    <rPh sb="0" eb="2">
      <t>ソクド</t>
    </rPh>
    <rPh sb="2" eb="4">
      <t>ソクテイ</t>
    </rPh>
    <rPh sb="4" eb="6">
      <t>キキ</t>
    </rPh>
    <phoneticPr fontId="2"/>
  </si>
  <si>
    <t>超音波測定機器</t>
    <rPh sb="0" eb="3">
      <t>チョウオンパ</t>
    </rPh>
    <rPh sb="3" eb="5">
      <t>ソクテイ</t>
    </rPh>
    <rPh sb="5" eb="7">
      <t>キキ</t>
    </rPh>
    <phoneticPr fontId="2"/>
  </si>
  <si>
    <t>その他測定機器</t>
    <rPh sb="2" eb="3">
      <t>タ</t>
    </rPh>
    <rPh sb="3" eb="5">
      <t>ソクテイ</t>
    </rPh>
    <rPh sb="5" eb="7">
      <t>キキ</t>
    </rPh>
    <phoneticPr fontId="2"/>
  </si>
  <si>
    <t>光学写真機</t>
    <rPh sb="0" eb="2">
      <t>コウガク</t>
    </rPh>
    <rPh sb="2" eb="5">
      <t>シャシンキ</t>
    </rPh>
    <phoneticPr fontId="2"/>
  </si>
  <si>
    <t>デジタル写真機</t>
    <rPh sb="4" eb="7">
      <t>シャシンキ</t>
    </rPh>
    <phoneticPr fontId="2"/>
  </si>
  <si>
    <t>写真現像・プリント機器</t>
    <rPh sb="0" eb="2">
      <t>シャシン</t>
    </rPh>
    <rPh sb="2" eb="4">
      <t>ゲンゾウ</t>
    </rPh>
    <rPh sb="9" eb="11">
      <t>キキ</t>
    </rPh>
    <phoneticPr fontId="2"/>
  </si>
  <si>
    <t>撮影機</t>
    <rPh sb="0" eb="3">
      <t>サツエイキ</t>
    </rPh>
    <phoneticPr fontId="2"/>
  </si>
  <si>
    <t>写真フィルム</t>
    <rPh sb="0" eb="2">
      <t>シャシン</t>
    </rPh>
    <phoneticPr fontId="2"/>
  </si>
  <si>
    <t>その他写真機器</t>
    <rPh sb="2" eb="3">
      <t>タ</t>
    </rPh>
    <rPh sb="3" eb="5">
      <t>シャシン</t>
    </rPh>
    <rPh sb="5" eb="7">
      <t>キキ</t>
    </rPh>
    <phoneticPr fontId="2"/>
  </si>
  <si>
    <t>厨房機器</t>
    <rPh sb="0" eb="2">
      <t>チュウボウ</t>
    </rPh>
    <rPh sb="2" eb="4">
      <t>キキ</t>
    </rPh>
    <phoneticPr fontId="2"/>
  </si>
  <si>
    <t>厨房用調理器</t>
    <rPh sb="0" eb="2">
      <t>チュウボウ</t>
    </rPh>
    <rPh sb="2" eb="3">
      <t>ヨウ</t>
    </rPh>
    <rPh sb="3" eb="6">
      <t>チョウリキ</t>
    </rPh>
    <phoneticPr fontId="2"/>
  </si>
  <si>
    <t>調理（実習）台</t>
    <rPh sb="0" eb="2">
      <t>チョウリ</t>
    </rPh>
    <rPh sb="3" eb="5">
      <t>ジッシュウ</t>
    </rPh>
    <rPh sb="6" eb="7">
      <t>ダイ</t>
    </rPh>
    <phoneticPr fontId="2"/>
  </si>
  <si>
    <t>厨房用洗浄機器</t>
    <rPh sb="0" eb="2">
      <t>チュウボウ</t>
    </rPh>
    <rPh sb="2" eb="3">
      <t>ヨウ</t>
    </rPh>
    <rPh sb="3" eb="5">
      <t>センジョウ</t>
    </rPh>
    <rPh sb="5" eb="7">
      <t>キキ</t>
    </rPh>
    <phoneticPr fontId="2"/>
  </si>
  <si>
    <t>厨房用消毒機器</t>
    <rPh sb="0" eb="2">
      <t>チュウボウ</t>
    </rPh>
    <rPh sb="2" eb="3">
      <t>ヨウ</t>
    </rPh>
    <rPh sb="3" eb="5">
      <t>ショウドク</t>
    </rPh>
    <rPh sb="5" eb="7">
      <t>キキ</t>
    </rPh>
    <phoneticPr fontId="2"/>
  </si>
  <si>
    <t>厨房用冷凍・冷蔵機器</t>
    <rPh sb="0" eb="2">
      <t>チュウボウ</t>
    </rPh>
    <rPh sb="2" eb="3">
      <t>ヨウ</t>
    </rPh>
    <rPh sb="3" eb="5">
      <t>レイトウ</t>
    </rPh>
    <rPh sb="6" eb="8">
      <t>レイゾウ</t>
    </rPh>
    <rPh sb="8" eb="10">
      <t>キキ</t>
    </rPh>
    <phoneticPr fontId="2"/>
  </si>
  <si>
    <t>厨房用給湯機器</t>
    <rPh sb="0" eb="2">
      <t>チュウボウ</t>
    </rPh>
    <rPh sb="2" eb="3">
      <t>ヨウ</t>
    </rPh>
    <rPh sb="3" eb="5">
      <t>キュウトウ</t>
    </rPh>
    <rPh sb="5" eb="7">
      <t>キキ</t>
    </rPh>
    <phoneticPr fontId="2"/>
  </si>
  <si>
    <t>その他厨房機器</t>
    <rPh sb="2" eb="3">
      <t>タ</t>
    </rPh>
    <rPh sb="3" eb="5">
      <t>チュウボウ</t>
    </rPh>
    <rPh sb="5" eb="7">
      <t>キキ</t>
    </rPh>
    <phoneticPr fontId="2"/>
  </si>
  <si>
    <t>建設機械・機器</t>
    <rPh sb="0" eb="2">
      <t>ケンセツ</t>
    </rPh>
    <rPh sb="2" eb="4">
      <t>キカイ</t>
    </rPh>
    <rPh sb="5" eb="7">
      <t>キキ</t>
    </rPh>
    <phoneticPr fontId="2"/>
  </si>
  <si>
    <t>除雪トラック</t>
    <rPh sb="0" eb="2">
      <t>ジョセツ</t>
    </rPh>
    <phoneticPr fontId="2"/>
  </si>
  <si>
    <t>凍結防止剤散布車</t>
    <rPh sb="0" eb="2">
      <t>トウケツ</t>
    </rPh>
    <rPh sb="2" eb="5">
      <t>ボウシザイ</t>
    </rPh>
    <rPh sb="5" eb="7">
      <t>サンプ</t>
    </rPh>
    <rPh sb="7" eb="8">
      <t>シャ</t>
    </rPh>
    <phoneticPr fontId="2"/>
  </si>
  <si>
    <t>凍結防止剤薬液供給装置等</t>
    <rPh sb="0" eb="2">
      <t>トウケツ</t>
    </rPh>
    <rPh sb="2" eb="5">
      <t>ボウシザイ</t>
    </rPh>
    <rPh sb="5" eb="7">
      <t>ヤクエキ</t>
    </rPh>
    <rPh sb="7" eb="9">
      <t>キョウキュウ</t>
    </rPh>
    <rPh sb="9" eb="11">
      <t>ソウチ</t>
    </rPh>
    <rPh sb="11" eb="12">
      <t>トウ</t>
    </rPh>
    <phoneticPr fontId="2"/>
  </si>
  <si>
    <t>その他機械付属品</t>
    <rPh sb="2" eb="3">
      <t>タ</t>
    </rPh>
    <rPh sb="3" eb="5">
      <t>キカイ</t>
    </rPh>
    <rPh sb="5" eb="7">
      <t>フゾク</t>
    </rPh>
    <rPh sb="7" eb="8">
      <t>ヒン</t>
    </rPh>
    <phoneticPr fontId="2"/>
  </si>
  <si>
    <t>その他建設機械</t>
    <rPh sb="2" eb="3">
      <t>タ</t>
    </rPh>
    <rPh sb="3" eb="5">
      <t>ケンセツ</t>
    </rPh>
    <rPh sb="5" eb="7">
      <t>キカイ</t>
    </rPh>
    <phoneticPr fontId="2"/>
  </si>
  <si>
    <t>農業・畜産・水産機器</t>
    <rPh sb="0" eb="2">
      <t>ノウギョウ</t>
    </rPh>
    <rPh sb="3" eb="5">
      <t>チクサン</t>
    </rPh>
    <rPh sb="6" eb="8">
      <t>スイサン</t>
    </rPh>
    <rPh sb="8" eb="10">
      <t>キキ</t>
    </rPh>
    <phoneticPr fontId="2"/>
  </si>
  <si>
    <t>種子調整機器</t>
    <rPh sb="0" eb="2">
      <t>シュシ</t>
    </rPh>
    <rPh sb="2" eb="4">
      <t>チョウセイ</t>
    </rPh>
    <rPh sb="4" eb="6">
      <t>キキ</t>
    </rPh>
    <phoneticPr fontId="2"/>
  </si>
  <si>
    <t>漁網</t>
    <rPh sb="0" eb="2">
      <t>ギョモウ</t>
    </rPh>
    <phoneticPr fontId="2"/>
  </si>
  <si>
    <t>その他農畜水産機器</t>
    <rPh sb="2" eb="3">
      <t>タ</t>
    </rPh>
    <rPh sb="3" eb="5">
      <t>ノウチク</t>
    </rPh>
    <rPh sb="5" eb="7">
      <t>スイサン</t>
    </rPh>
    <rPh sb="7" eb="9">
      <t>キキ</t>
    </rPh>
    <phoneticPr fontId="2"/>
  </si>
  <si>
    <t>工作機器</t>
    <rPh sb="0" eb="2">
      <t>コウサク</t>
    </rPh>
    <rPh sb="2" eb="4">
      <t>キキ</t>
    </rPh>
    <phoneticPr fontId="2"/>
  </si>
  <si>
    <t>旋盤</t>
    <rPh sb="0" eb="2">
      <t>センバン</t>
    </rPh>
    <phoneticPr fontId="2"/>
  </si>
  <si>
    <t>ＮＣ旋盤</t>
    <rPh sb="2" eb="4">
      <t>センバン</t>
    </rPh>
    <phoneticPr fontId="2"/>
  </si>
  <si>
    <t>フライス盤</t>
    <rPh sb="4" eb="5">
      <t>バン</t>
    </rPh>
    <phoneticPr fontId="2"/>
  </si>
  <si>
    <t>研削機</t>
    <rPh sb="0" eb="2">
      <t>ケンサク</t>
    </rPh>
    <rPh sb="2" eb="3">
      <t>キ</t>
    </rPh>
    <phoneticPr fontId="2"/>
  </si>
  <si>
    <t>ボール盤</t>
    <rPh sb="3" eb="4">
      <t>バン</t>
    </rPh>
    <phoneticPr fontId="2"/>
  </si>
  <si>
    <t>切断機</t>
    <rPh sb="0" eb="3">
      <t>セツダンキ</t>
    </rPh>
    <phoneticPr fontId="2"/>
  </si>
  <si>
    <t>作業工具</t>
    <rPh sb="0" eb="2">
      <t>サギョウ</t>
    </rPh>
    <rPh sb="2" eb="4">
      <t>コウグ</t>
    </rPh>
    <phoneticPr fontId="2"/>
  </si>
  <si>
    <t>その他工作機器</t>
    <rPh sb="2" eb="3">
      <t>タ</t>
    </rPh>
    <rPh sb="3" eb="5">
      <t>コウサク</t>
    </rPh>
    <rPh sb="5" eb="7">
      <t>キキ</t>
    </rPh>
    <phoneticPr fontId="2"/>
  </si>
  <si>
    <t>冷暖房・空調機器</t>
    <rPh sb="0" eb="3">
      <t>レイダンボウ</t>
    </rPh>
    <rPh sb="4" eb="6">
      <t>クウチョウ</t>
    </rPh>
    <rPh sb="6" eb="8">
      <t>キキ</t>
    </rPh>
    <phoneticPr fontId="2"/>
  </si>
  <si>
    <t>ポット式ストーブ</t>
    <rPh sb="3" eb="4">
      <t>シキ</t>
    </rPh>
    <phoneticPr fontId="2"/>
  </si>
  <si>
    <t>その他冷暖房空調機器</t>
    <rPh sb="2" eb="3">
      <t>タ</t>
    </rPh>
    <rPh sb="3" eb="6">
      <t>レイダンボウ</t>
    </rPh>
    <rPh sb="6" eb="8">
      <t>クウチョウ</t>
    </rPh>
    <rPh sb="8" eb="10">
      <t>キキ</t>
    </rPh>
    <phoneticPr fontId="2"/>
  </si>
  <si>
    <t>その他産業・業務用機器</t>
    <rPh sb="2" eb="3">
      <t>タ</t>
    </rPh>
    <rPh sb="3" eb="5">
      <t>サンギョウ</t>
    </rPh>
    <rPh sb="6" eb="9">
      <t>ギョウムヨウ</t>
    </rPh>
    <rPh sb="9" eb="11">
      <t>キキ</t>
    </rPh>
    <phoneticPr fontId="2"/>
  </si>
  <si>
    <t>繊維・染色用機器</t>
    <rPh sb="0" eb="2">
      <t>センイ</t>
    </rPh>
    <rPh sb="3" eb="6">
      <t>センショクヨウ</t>
    </rPh>
    <rPh sb="6" eb="8">
      <t>キキ</t>
    </rPh>
    <phoneticPr fontId="2"/>
  </si>
  <si>
    <t>発券機</t>
    <rPh sb="0" eb="3">
      <t>ハッケンキ</t>
    </rPh>
    <phoneticPr fontId="2"/>
  </si>
  <si>
    <t>（事務機・家電を除く）</t>
    <rPh sb="1" eb="4">
      <t>ジムキ</t>
    </rPh>
    <rPh sb="5" eb="7">
      <t>カデン</t>
    </rPh>
    <rPh sb="8" eb="9">
      <t>ノゾ</t>
    </rPh>
    <phoneticPr fontId="2"/>
  </si>
  <si>
    <t>冷凍・冷蔵機器</t>
    <rPh sb="0" eb="2">
      <t>レイトウ</t>
    </rPh>
    <rPh sb="3" eb="5">
      <t>レイゾウ</t>
    </rPh>
    <rPh sb="5" eb="7">
      <t>キキ</t>
    </rPh>
    <phoneticPr fontId="2"/>
  </si>
  <si>
    <t>高所作業車</t>
    <rPh sb="0" eb="2">
      <t>コウショ</t>
    </rPh>
    <rPh sb="2" eb="5">
      <t>サギョウシャ</t>
    </rPh>
    <phoneticPr fontId="2"/>
  </si>
  <si>
    <t>印刷・製本機器</t>
    <rPh sb="0" eb="2">
      <t>インサツ</t>
    </rPh>
    <rPh sb="3" eb="5">
      <t>セイホン</t>
    </rPh>
    <rPh sb="5" eb="7">
      <t>キキ</t>
    </rPh>
    <phoneticPr fontId="2"/>
  </si>
  <si>
    <t>薬品・肥飼料・資材類</t>
    <rPh sb="0" eb="2">
      <t>ヤクヒン</t>
    </rPh>
    <rPh sb="3" eb="4">
      <t>コエ</t>
    </rPh>
    <rPh sb="4" eb="6">
      <t>シリョウ</t>
    </rPh>
    <rPh sb="7" eb="9">
      <t>シザイ</t>
    </rPh>
    <rPh sb="9" eb="10">
      <t>ルイ</t>
    </rPh>
    <phoneticPr fontId="2"/>
  </si>
  <si>
    <t>医薬品・診療材料類</t>
    <rPh sb="0" eb="3">
      <t>イヤクヒン</t>
    </rPh>
    <rPh sb="4" eb="6">
      <t>シンリョウ</t>
    </rPh>
    <rPh sb="6" eb="8">
      <t>ザイリョウ</t>
    </rPh>
    <rPh sb="8" eb="9">
      <t>ルイ</t>
    </rPh>
    <phoneticPr fontId="2"/>
  </si>
  <si>
    <t>医薬品（人体）</t>
    <rPh sb="0" eb="3">
      <t>イヤクヒン</t>
    </rPh>
    <rPh sb="4" eb="6">
      <t>ジンタイ</t>
    </rPh>
    <phoneticPr fontId="2"/>
  </si>
  <si>
    <t>医薬品（動物）</t>
    <rPh sb="0" eb="3">
      <t>イヤクヒン</t>
    </rPh>
    <rPh sb="4" eb="6">
      <t>ドウブツ</t>
    </rPh>
    <phoneticPr fontId="2"/>
  </si>
  <si>
    <t>医療用酸素・ガス</t>
    <rPh sb="0" eb="3">
      <t>イリョウヨウ</t>
    </rPh>
    <rPh sb="3" eb="5">
      <t>サンソ</t>
    </rPh>
    <phoneticPr fontId="2"/>
  </si>
  <si>
    <t>診療材料</t>
    <rPh sb="0" eb="2">
      <t>シンリョウ</t>
    </rPh>
    <rPh sb="2" eb="4">
      <t>ザイリョウ</t>
    </rPh>
    <phoneticPr fontId="2"/>
  </si>
  <si>
    <t>培地</t>
    <rPh sb="0" eb="2">
      <t>バイチ</t>
    </rPh>
    <phoneticPr fontId="2"/>
  </si>
  <si>
    <t>医療検査試薬</t>
    <rPh sb="0" eb="2">
      <t>イリョウ</t>
    </rPh>
    <rPh sb="2" eb="4">
      <t>ケンサ</t>
    </rPh>
    <rPh sb="4" eb="6">
      <t>シヤク</t>
    </rPh>
    <phoneticPr fontId="2"/>
  </si>
  <si>
    <t>Ｘ線フィルム</t>
    <rPh sb="1" eb="2">
      <t>セン</t>
    </rPh>
    <phoneticPr fontId="2"/>
  </si>
  <si>
    <t>衛生用品</t>
    <rPh sb="0" eb="2">
      <t>エイセイ</t>
    </rPh>
    <rPh sb="2" eb="4">
      <t>ヨウヒン</t>
    </rPh>
    <phoneticPr fontId="2"/>
  </si>
  <si>
    <t>介護用品</t>
    <rPh sb="0" eb="2">
      <t>カイゴ</t>
    </rPh>
    <rPh sb="2" eb="4">
      <t>ヨウヒン</t>
    </rPh>
    <phoneticPr fontId="2"/>
  </si>
  <si>
    <t>その他薬品・診療材料</t>
    <rPh sb="2" eb="3">
      <t>タ</t>
    </rPh>
    <rPh sb="3" eb="5">
      <t>ヤクヒン</t>
    </rPh>
    <rPh sb="6" eb="8">
      <t>シンリョウ</t>
    </rPh>
    <rPh sb="8" eb="10">
      <t>ザイリョウ</t>
    </rPh>
    <phoneticPr fontId="2"/>
  </si>
  <si>
    <t>農薬</t>
    <rPh sb="0" eb="2">
      <t>ノウヤク</t>
    </rPh>
    <phoneticPr fontId="2"/>
  </si>
  <si>
    <t>除草剤</t>
    <rPh sb="0" eb="3">
      <t>ジョソウザイ</t>
    </rPh>
    <phoneticPr fontId="2"/>
  </si>
  <si>
    <t>肥料</t>
    <rPh sb="0" eb="2">
      <t>ヒリョウ</t>
    </rPh>
    <phoneticPr fontId="2"/>
  </si>
  <si>
    <t>飼料</t>
    <rPh sb="0" eb="2">
      <t>シリョウ</t>
    </rPh>
    <phoneticPr fontId="2"/>
  </si>
  <si>
    <t>農業用消耗資材</t>
    <rPh sb="0" eb="2">
      <t>ノウギョウ</t>
    </rPh>
    <rPh sb="2" eb="3">
      <t>ヨウ</t>
    </rPh>
    <rPh sb="3" eb="5">
      <t>ショウモウ</t>
    </rPh>
    <rPh sb="5" eb="7">
      <t>シザイ</t>
    </rPh>
    <phoneticPr fontId="2"/>
  </si>
  <si>
    <t>種苗</t>
    <rPh sb="0" eb="2">
      <t>シュビョウ</t>
    </rPh>
    <phoneticPr fontId="2"/>
  </si>
  <si>
    <t>その他農業用品</t>
    <rPh sb="2" eb="3">
      <t>タ</t>
    </rPh>
    <rPh sb="3" eb="5">
      <t>ノウギョウ</t>
    </rPh>
    <rPh sb="5" eb="7">
      <t>ヨウヒン</t>
    </rPh>
    <phoneticPr fontId="2"/>
  </si>
  <si>
    <t>実験・分析用化学薬品</t>
    <rPh sb="0" eb="2">
      <t>ジッケン</t>
    </rPh>
    <rPh sb="3" eb="5">
      <t>ブンセキ</t>
    </rPh>
    <rPh sb="5" eb="6">
      <t>ヨウ</t>
    </rPh>
    <rPh sb="6" eb="8">
      <t>カガク</t>
    </rPh>
    <rPh sb="8" eb="10">
      <t>ヤクヒン</t>
    </rPh>
    <phoneticPr fontId="2"/>
  </si>
  <si>
    <t>施設・機械用化学薬品</t>
    <rPh sb="0" eb="2">
      <t>シセツ</t>
    </rPh>
    <rPh sb="3" eb="5">
      <t>キカイ</t>
    </rPh>
    <rPh sb="5" eb="6">
      <t>ヨウ</t>
    </rPh>
    <rPh sb="6" eb="8">
      <t>カガク</t>
    </rPh>
    <rPh sb="8" eb="10">
      <t>ヤクヒン</t>
    </rPh>
    <phoneticPr fontId="2"/>
  </si>
  <si>
    <t>防じん剤</t>
    <rPh sb="0" eb="1">
      <t>ボウ</t>
    </rPh>
    <rPh sb="3" eb="4">
      <t>ザイ</t>
    </rPh>
    <phoneticPr fontId="2"/>
  </si>
  <si>
    <t>道路凍結防止剤</t>
    <rPh sb="0" eb="2">
      <t>ドウロ</t>
    </rPh>
    <rPh sb="2" eb="4">
      <t>トウケツ</t>
    </rPh>
    <rPh sb="4" eb="7">
      <t>ボウシザイ</t>
    </rPh>
    <phoneticPr fontId="2"/>
  </si>
  <si>
    <t>その他工業薬品等</t>
    <rPh sb="2" eb="3">
      <t>タ</t>
    </rPh>
    <rPh sb="3" eb="5">
      <t>コウギョウ</t>
    </rPh>
    <rPh sb="5" eb="7">
      <t>ヤクヒン</t>
    </rPh>
    <rPh sb="7" eb="8">
      <t>トウ</t>
    </rPh>
    <phoneticPr fontId="2"/>
  </si>
  <si>
    <t>車両</t>
    <rPh sb="0" eb="2">
      <t>シャリョウ</t>
    </rPh>
    <phoneticPr fontId="2"/>
  </si>
  <si>
    <t>乗用車・ライトバン</t>
    <rPh sb="0" eb="3">
      <t>ジョウヨウシャ</t>
    </rPh>
    <phoneticPr fontId="2"/>
  </si>
  <si>
    <t>軽自動車</t>
    <rPh sb="0" eb="1">
      <t>ケイ</t>
    </rPh>
    <rPh sb="1" eb="4">
      <t>ジドウシャ</t>
    </rPh>
    <phoneticPr fontId="2"/>
  </si>
  <si>
    <t>警察架装車両</t>
    <rPh sb="0" eb="2">
      <t>ケイサツ</t>
    </rPh>
    <rPh sb="2" eb="3">
      <t>カ</t>
    </rPh>
    <rPh sb="3" eb="4">
      <t>ソウ</t>
    </rPh>
    <rPh sb="4" eb="6">
      <t>シャリョウ</t>
    </rPh>
    <phoneticPr fontId="2"/>
  </si>
  <si>
    <t>消防車・救急車</t>
    <rPh sb="0" eb="3">
      <t>ショウボウシャ</t>
    </rPh>
    <rPh sb="4" eb="7">
      <t>キュウキュウシャ</t>
    </rPh>
    <phoneticPr fontId="2"/>
  </si>
  <si>
    <t>その他架装車両</t>
    <rPh sb="2" eb="3">
      <t>タ</t>
    </rPh>
    <rPh sb="3" eb="4">
      <t>カ</t>
    </rPh>
    <rPh sb="4" eb="5">
      <t>ソウ</t>
    </rPh>
    <rPh sb="5" eb="7">
      <t>シャリョウ</t>
    </rPh>
    <phoneticPr fontId="2"/>
  </si>
  <si>
    <t>白バイ</t>
    <rPh sb="0" eb="1">
      <t>シロ</t>
    </rPh>
    <phoneticPr fontId="2"/>
  </si>
  <si>
    <t>自動二輪・原付</t>
    <rPh sb="0" eb="2">
      <t>ジドウ</t>
    </rPh>
    <rPh sb="2" eb="4">
      <t>ニリン</t>
    </rPh>
    <rPh sb="5" eb="7">
      <t>ゲンツキ</t>
    </rPh>
    <phoneticPr fontId="2"/>
  </si>
  <si>
    <t>自転車</t>
    <rPh sb="0" eb="3">
      <t>ジテンシャ</t>
    </rPh>
    <phoneticPr fontId="2"/>
  </si>
  <si>
    <t>その他車両</t>
    <rPh sb="2" eb="3">
      <t>タ</t>
    </rPh>
    <rPh sb="3" eb="5">
      <t>シャリョウ</t>
    </rPh>
    <phoneticPr fontId="2"/>
  </si>
  <si>
    <t>船舶</t>
    <rPh sb="0" eb="2">
      <t>センパク</t>
    </rPh>
    <phoneticPr fontId="2"/>
  </si>
  <si>
    <t>小型船舶</t>
    <rPh sb="0" eb="2">
      <t>コガタ</t>
    </rPh>
    <rPh sb="2" eb="4">
      <t>センパク</t>
    </rPh>
    <phoneticPr fontId="2"/>
  </si>
  <si>
    <t>競技用ボート</t>
    <rPh sb="0" eb="3">
      <t>キョウギヨウ</t>
    </rPh>
    <phoneticPr fontId="2"/>
  </si>
  <si>
    <t>救命用ゴムボート</t>
    <rPh sb="0" eb="2">
      <t>キュウメイ</t>
    </rPh>
    <rPh sb="2" eb="3">
      <t>ヨウ</t>
    </rPh>
    <phoneticPr fontId="2"/>
  </si>
  <si>
    <t>その他船舶</t>
    <rPh sb="2" eb="3">
      <t>タ</t>
    </rPh>
    <rPh sb="3" eb="5">
      <t>センパク</t>
    </rPh>
    <phoneticPr fontId="2"/>
  </si>
  <si>
    <t>車両タイヤ</t>
    <rPh sb="0" eb="2">
      <t>シャリョウ</t>
    </rPh>
    <phoneticPr fontId="2"/>
  </si>
  <si>
    <t>車両部品・電装品</t>
    <rPh sb="0" eb="2">
      <t>シャリョウ</t>
    </rPh>
    <rPh sb="2" eb="4">
      <t>ブヒン</t>
    </rPh>
    <rPh sb="5" eb="7">
      <t>デンソウ</t>
    </rPh>
    <rPh sb="7" eb="8">
      <t>シナ</t>
    </rPh>
    <phoneticPr fontId="2"/>
  </si>
  <si>
    <t>船外機</t>
    <rPh sb="0" eb="3">
      <t>センガイキ</t>
    </rPh>
    <phoneticPr fontId="2"/>
  </si>
  <si>
    <t>船舶装備品</t>
    <rPh sb="0" eb="2">
      <t>センパク</t>
    </rPh>
    <rPh sb="2" eb="5">
      <t>ソウビヒン</t>
    </rPh>
    <phoneticPr fontId="2"/>
  </si>
  <si>
    <t>その他車両・船舶装備品</t>
    <rPh sb="2" eb="3">
      <t>タ</t>
    </rPh>
    <rPh sb="3" eb="5">
      <t>シャリョウ</t>
    </rPh>
    <rPh sb="6" eb="8">
      <t>センパク</t>
    </rPh>
    <rPh sb="8" eb="11">
      <t>ソウビヒン</t>
    </rPh>
    <phoneticPr fontId="2"/>
  </si>
  <si>
    <t>軽油</t>
    <rPh sb="0" eb="2">
      <t>ケイユ</t>
    </rPh>
    <phoneticPr fontId="2"/>
  </si>
  <si>
    <t>重油</t>
    <rPh sb="0" eb="2">
      <t>ジュウユ</t>
    </rPh>
    <phoneticPr fontId="2"/>
  </si>
  <si>
    <t>灯油</t>
    <rPh sb="0" eb="2">
      <t>トウユ</t>
    </rPh>
    <phoneticPr fontId="2"/>
  </si>
  <si>
    <t>船舶燃料（バージ）</t>
    <rPh sb="0" eb="2">
      <t>センパク</t>
    </rPh>
    <rPh sb="2" eb="4">
      <t>ネンリョウ</t>
    </rPh>
    <phoneticPr fontId="2"/>
  </si>
  <si>
    <t>航空燃料</t>
    <rPh sb="0" eb="2">
      <t>コウクウ</t>
    </rPh>
    <rPh sb="2" eb="4">
      <t>ネンリョウ</t>
    </rPh>
    <phoneticPr fontId="2"/>
  </si>
  <si>
    <t>潤滑油</t>
    <rPh sb="0" eb="3">
      <t>ジュンカツユ</t>
    </rPh>
    <phoneticPr fontId="2"/>
  </si>
  <si>
    <t>その他燃料・油脂</t>
    <rPh sb="2" eb="3">
      <t>タ</t>
    </rPh>
    <rPh sb="3" eb="5">
      <t>ネンリョウ</t>
    </rPh>
    <rPh sb="6" eb="8">
      <t>ユシ</t>
    </rPh>
    <phoneticPr fontId="2"/>
  </si>
  <si>
    <t>工事用材料類</t>
    <rPh sb="0" eb="3">
      <t>コウジヨウ</t>
    </rPh>
    <rPh sb="3" eb="5">
      <t>ザイリョウ</t>
    </rPh>
    <rPh sb="5" eb="6">
      <t>ルイ</t>
    </rPh>
    <phoneticPr fontId="2"/>
  </si>
  <si>
    <t>鉄鋼、非鉄、鋳鉄類</t>
    <rPh sb="0" eb="2">
      <t>テッコウ</t>
    </rPh>
    <rPh sb="3" eb="5">
      <t>ヒテツ</t>
    </rPh>
    <rPh sb="6" eb="8">
      <t>チュウテツ</t>
    </rPh>
    <rPh sb="8" eb="9">
      <t>ルイ</t>
    </rPh>
    <phoneticPr fontId="2"/>
  </si>
  <si>
    <t>鋼材</t>
    <rPh sb="0" eb="2">
      <t>コウザイ</t>
    </rPh>
    <phoneticPr fontId="2"/>
  </si>
  <si>
    <t>鋼矢板</t>
    <rPh sb="0" eb="1">
      <t>コウ</t>
    </rPh>
    <rPh sb="1" eb="3">
      <t>ヤイタ</t>
    </rPh>
    <phoneticPr fontId="2"/>
  </si>
  <si>
    <t>金網</t>
    <rPh sb="0" eb="2">
      <t>カナアミ</t>
    </rPh>
    <phoneticPr fontId="2"/>
  </si>
  <si>
    <t>鋼管</t>
    <rPh sb="0" eb="2">
      <t>コウカン</t>
    </rPh>
    <phoneticPr fontId="2"/>
  </si>
  <si>
    <t>アルミ製品</t>
    <rPh sb="3" eb="5">
      <t>セイヒン</t>
    </rPh>
    <phoneticPr fontId="2"/>
  </si>
  <si>
    <t>その他鉄鋼、非鉄、鋳鉄類</t>
    <rPh sb="2" eb="3">
      <t>タ</t>
    </rPh>
    <rPh sb="3" eb="5">
      <t>テッコウ</t>
    </rPh>
    <rPh sb="6" eb="8">
      <t>ヒテツ</t>
    </rPh>
    <rPh sb="9" eb="11">
      <t>チュウテツ</t>
    </rPh>
    <rPh sb="11" eb="12">
      <t>ルイ</t>
    </rPh>
    <phoneticPr fontId="2"/>
  </si>
  <si>
    <t>生コンクリート</t>
    <rPh sb="0" eb="1">
      <t>ナマ</t>
    </rPh>
    <phoneticPr fontId="2"/>
  </si>
  <si>
    <t>アスファルト混合物</t>
    <rPh sb="6" eb="8">
      <t>コンゴウ</t>
    </rPh>
    <rPh sb="8" eb="9">
      <t>ブツ</t>
    </rPh>
    <phoneticPr fontId="2"/>
  </si>
  <si>
    <t>常温合材</t>
    <rPh sb="0" eb="2">
      <t>ジョウオン</t>
    </rPh>
    <rPh sb="2" eb="3">
      <t>ゴウ</t>
    </rPh>
    <rPh sb="3" eb="4">
      <t>ザイ</t>
    </rPh>
    <phoneticPr fontId="2"/>
  </si>
  <si>
    <t>砕石</t>
    <rPh sb="0" eb="2">
      <t>サイセキ</t>
    </rPh>
    <phoneticPr fontId="2"/>
  </si>
  <si>
    <t>砂利、砂、石粉</t>
    <rPh sb="0" eb="2">
      <t>ジャリ</t>
    </rPh>
    <rPh sb="3" eb="4">
      <t>スナ</t>
    </rPh>
    <rPh sb="5" eb="6">
      <t>イシ</t>
    </rPh>
    <rPh sb="6" eb="7">
      <t>コナ</t>
    </rPh>
    <phoneticPr fontId="2"/>
  </si>
  <si>
    <t>コンクリート二次製品</t>
    <rPh sb="6" eb="8">
      <t>ニジ</t>
    </rPh>
    <rPh sb="8" eb="10">
      <t>セイヒン</t>
    </rPh>
    <phoneticPr fontId="2"/>
  </si>
  <si>
    <t>煉瓦</t>
    <rPh sb="0" eb="2">
      <t>レンガ</t>
    </rPh>
    <phoneticPr fontId="2"/>
  </si>
  <si>
    <t>その他資材</t>
    <rPh sb="2" eb="3">
      <t>タ</t>
    </rPh>
    <rPh sb="3" eb="5">
      <t>シザイ</t>
    </rPh>
    <phoneticPr fontId="2"/>
  </si>
  <si>
    <t>道路標識類</t>
    <rPh sb="0" eb="2">
      <t>ドウロ</t>
    </rPh>
    <rPh sb="2" eb="4">
      <t>ヒョウシキ</t>
    </rPh>
    <rPh sb="4" eb="5">
      <t>ルイ</t>
    </rPh>
    <phoneticPr fontId="2"/>
  </si>
  <si>
    <t>道路標識・案内板</t>
    <rPh sb="0" eb="2">
      <t>ドウロ</t>
    </rPh>
    <rPh sb="2" eb="4">
      <t>ヒョウシキ</t>
    </rPh>
    <rPh sb="5" eb="7">
      <t>アンナイ</t>
    </rPh>
    <rPh sb="7" eb="8">
      <t>バン</t>
    </rPh>
    <phoneticPr fontId="2"/>
  </si>
  <si>
    <t>電照式標識</t>
    <rPh sb="0" eb="1">
      <t>デン</t>
    </rPh>
    <rPh sb="1" eb="2">
      <t>テ</t>
    </rPh>
    <rPh sb="2" eb="3">
      <t>シキ</t>
    </rPh>
    <rPh sb="3" eb="5">
      <t>ヒョウシキ</t>
    </rPh>
    <phoneticPr fontId="2"/>
  </si>
  <si>
    <t>その他標識類</t>
    <rPh sb="2" eb="3">
      <t>タ</t>
    </rPh>
    <rPh sb="3" eb="5">
      <t>ヒョウシキ</t>
    </rPh>
    <rPh sb="5" eb="6">
      <t>ルイ</t>
    </rPh>
    <phoneticPr fontId="2"/>
  </si>
  <si>
    <t>諸材料類</t>
    <rPh sb="0" eb="1">
      <t>ショ</t>
    </rPh>
    <rPh sb="1" eb="3">
      <t>ザイリョウ</t>
    </rPh>
    <rPh sb="3" eb="4">
      <t>ルイ</t>
    </rPh>
    <phoneticPr fontId="2"/>
  </si>
  <si>
    <t>木材</t>
    <rPh sb="0" eb="2">
      <t>モクザイ</t>
    </rPh>
    <phoneticPr fontId="2"/>
  </si>
  <si>
    <t>塗料</t>
    <rPh sb="0" eb="2">
      <t>トリョウ</t>
    </rPh>
    <phoneticPr fontId="2"/>
  </si>
  <si>
    <t>建具</t>
    <rPh sb="0" eb="2">
      <t>タテグ</t>
    </rPh>
    <phoneticPr fontId="2"/>
  </si>
  <si>
    <t>水道用品</t>
    <rPh sb="0" eb="2">
      <t>スイドウ</t>
    </rPh>
    <rPh sb="2" eb="4">
      <t>ヨウヒン</t>
    </rPh>
    <phoneticPr fontId="2"/>
  </si>
  <si>
    <t>架線材料</t>
    <rPh sb="0" eb="2">
      <t>カセン</t>
    </rPh>
    <rPh sb="2" eb="4">
      <t>ザイリョウ</t>
    </rPh>
    <phoneticPr fontId="2"/>
  </si>
  <si>
    <t>絶縁材料</t>
    <rPh sb="0" eb="2">
      <t>ゼツエン</t>
    </rPh>
    <rPh sb="2" eb="4">
      <t>ザイリョウ</t>
    </rPh>
    <phoneticPr fontId="2"/>
  </si>
  <si>
    <t>造園資材</t>
    <rPh sb="0" eb="2">
      <t>ゾウエン</t>
    </rPh>
    <rPh sb="2" eb="4">
      <t>シザイ</t>
    </rPh>
    <phoneticPr fontId="2"/>
  </si>
  <si>
    <t>樹木</t>
    <rPh sb="0" eb="2">
      <t>ジュモク</t>
    </rPh>
    <phoneticPr fontId="2"/>
  </si>
  <si>
    <t>その他諸材料</t>
    <rPh sb="2" eb="3">
      <t>タ</t>
    </rPh>
    <rPh sb="3" eb="4">
      <t>ショ</t>
    </rPh>
    <rPh sb="4" eb="6">
      <t>ザイリョウ</t>
    </rPh>
    <phoneticPr fontId="2"/>
  </si>
  <si>
    <t>災害関係資材</t>
    <rPh sb="0" eb="2">
      <t>サイガイ</t>
    </rPh>
    <rPh sb="2" eb="4">
      <t>カンケイ</t>
    </rPh>
    <rPh sb="4" eb="6">
      <t>シザイ</t>
    </rPh>
    <phoneticPr fontId="2"/>
  </si>
  <si>
    <t>麻袋</t>
    <rPh sb="0" eb="1">
      <t>アサ</t>
    </rPh>
    <rPh sb="1" eb="2">
      <t>フクロ</t>
    </rPh>
    <phoneticPr fontId="2"/>
  </si>
  <si>
    <t>杭</t>
    <rPh sb="0" eb="1">
      <t>クイ</t>
    </rPh>
    <phoneticPr fontId="2"/>
  </si>
  <si>
    <t>その他</t>
    <rPh sb="2" eb="3">
      <t>タ</t>
    </rPh>
    <phoneticPr fontId="2"/>
  </si>
  <si>
    <t>楽器</t>
    <rPh sb="0" eb="2">
      <t>ガッキ</t>
    </rPh>
    <phoneticPr fontId="2"/>
  </si>
  <si>
    <t>その他楽器</t>
    <rPh sb="2" eb="3">
      <t>タ</t>
    </rPh>
    <rPh sb="3" eb="5">
      <t>ガッキ</t>
    </rPh>
    <phoneticPr fontId="2"/>
  </si>
  <si>
    <t>その他音楽関係</t>
    <rPh sb="2" eb="3">
      <t>タ</t>
    </rPh>
    <rPh sb="3" eb="5">
      <t>オンガク</t>
    </rPh>
    <rPh sb="5" eb="7">
      <t>カンケイ</t>
    </rPh>
    <phoneticPr fontId="2"/>
  </si>
  <si>
    <t>運動具</t>
    <rPh sb="0" eb="2">
      <t>ウンドウ</t>
    </rPh>
    <rPh sb="2" eb="3">
      <t>グ</t>
    </rPh>
    <phoneticPr fontId="2"/>
  </si>
  <si>
    <t>競技用具</t>
    <rPh sb="0" eb="2">
      <t>キョウギ</t>
    </rPh>
    <rPh sb="2" eb="4">
      <t>ヨウグ</t>
    </rPh>
    <phoneticPr fontId="2"/>
  </si>
  <si>
    <t>武道具</t>
    <rPh sb="0" eb="2">
      <t>ブドウ</t>
    </rPh>
    <rPh sb="2" eb="3">
      <t>グ</t>
    </rPh>
    <phoneticPr fontId="2"/>
  </si>
  <si>
    <t>柔道用畳</t>
    <rPh sb="0" eb="2">
      <t>ジュウドウ</t>
    </rPh>
    <rPh sb="2" eb="3">
      <t>ヨウ</t>
    </rPh>
    <rPh sb="3" eb="4">
      <t>タタミ</t>
    </rPh>
    <phoneticPr fontId="2"/>
  </si>
  <si>
    <t>競技用記録計測機器</t>
    <rPh sb="0" eb="3">
      <t>キョウギヨウ</t>
    </rPh>
    <rPh sb="3" eb="5">
      <t>キロク</t>
    </rPh>
    <rPh sb="5" eb="7">
      <t>ケイソク</t>
    </rPh>
    <rPh sb="7" eb="9">
      <t>キキ</t>
    </rPh>
    <phoneticPr fontId="2"/>
  </si>
  <si>
    <t>記録表示機器</t>
    <rPh sb="0" eb="2">
      <t>キロク</t>
    </rPh>
    <rPh sb="2" eb="4">
      <t>ヒョウジ</t>
    </rPh>
    <rPh sb="4" eb="6">
      <t>キキ</t>
    </rPh>
    <phoneticPr fontId="2"/>
  </si>
  <si>
    <t>アウトドア用品</t>
    <rPh sb="5" eb="7">
      <t>ヨウヒン</t>
    </rPh>
    <phoneticPr fontId="2"/>
  </si>
  <si>
    <t>その他運動具</t>
    <rPh sb="2" eb="3">
      <t>タ</t>
    </rPh>
    <rPh sb="3" eb="5">
      <t>ウンドウ</t>
    </rPh>
    <rPh sb="5" eb="6">
      <t>グ</t>
    </rPh>
    <phoneticPr fontId="2"/>
  </si>
  <si>
    <t>書籍・出版物</t>
    <rPh sb="0" eb="2">
      <t>ショセキ</t>
    </rPh>
    <rPh sb="3" eb="5">
      <t>シュッパン</t>
    </rPh>
    <rPh sb="5" eb="6">
      <t>ブツ</t>
    </rPh>
    <phoneticPr fontId="2"/>
  </si>
  <si>
    <t>和書</t>
    <rPh sb="0" eb="2">
      <t>ワショ</t>
    </rPh>
    <phoneticPr fontId="2"/>
  </si>
  <si>
    <t>洋書</t>
    <rPh sb="0" eb="2">
      <t>ヨウショ</t>
    </rPh>
    <phoneticPr fontId="2"/>
  </si>
  <si>
    <t>その他出版物</t>
    <rPh sb="2" eb="3">
      <t>タ</t>
    </rPh>
    <rPh sb="3" eb="6">
      <t>シュッパンブツ</t>
    </rPh>
    <phoneticPr fontId="2"/>
  </si>
  <si>
    <t>食料品</t>
    <rPh sb="0" eb="3">
      <t>ショクリョウヒン</t>
    </rPh>
    <phoneticPr fontId="2"/>
  </si>
  <si>
    <t>留置人弁当</t>
    <rPh sb="0" eb="2">
      <t>リュウチ</t>
    </rPh>
    <rPh sb="2" eb="3">
      <t>ニン</t>
    </rPh>
    <rPh sb="3" eb="5">
      <t>ベントウ</t>
    </rPh>
    <phoneticPr fontId="2"/>
  </si>
  <si>
    <t>災害用保存食糧</t>
    <rPh sb="0" eb="2">
      <t>サイガイ</t>
    </rPh>
    <rPh sb="2" eb="3">
      <t>ヨウ</t>
    </rPh>
    <rPh sb="3" eb="5">
      <t>ホゾン</t>
    </rPh>
    <rPh sb="5" eb="7">
      <t>ショクリョウ</t>
    </rPh>
    <phoneticPr fontId="2"/>
  </si>
  <si>
    <t>（贈答用を除く）</t>
    <rPh sb="1" eb="3">
      <t>ゾウトウ</t>
    </rPh>
    <rPh sb="3" eb="4">
      <t>ヨウ</t>
    </rPh>
    <rPh sb="5" eb="6">
      <t>ノゾ</t>
    </rPh>
    <phoneticPr fontId="2"/>
  </si>
  <si>
    <t>その他食料品</t>
    <rPh sb="2" eb="3">
      <t>タ</t>
    </rPh>
    <rPh sb="3" eb="6">
      <t>ショクリョウヒン</t>
    </rPh>
    <phoneticPr fontId="2"/>
  </si>
  <si>
    <t>徽章</t>
    <rPh sb="0" eb="2">
      <t>キショウ</t>
    </rPh>
    <phoneticPr fontId="2"/>
  </si>
  <si>
    <t>贈答用工芸品</t>
    <rPh sb="0" eb="2">
      <t>ゾウトウ</t>
    </rPh>
    <rPh sb="2" eb="3">
      <t>ヨウ</t>
    </rPh>
    <rPh sb="3" eb="6">
      <t>コウゲイヒン</t>
    </rPh>
    <phoneticPr fontId="2"/>
  </si>
  <si>
    <t>贈答用食品</t>
    <rPh sb="0" eb="3">
      <t>ゾウトウヨウ</t>
    </rPh>
    <rPh sb="3" eb="5">
      <t>ショクヒン</t>
    </rPh>
    <phoneticPr fontId="2"/>
  </si>
  <si>
    <t>贈答用寝具・タオル類</t>
    <rPh sb="0" eb="3">
      <t>ゾウトウヨウ</t>
    </rPh>
    <rPh sb="3" eb="5">
      <t>シング</t>
    </rPh>
    <rPh sb="9" eb="10">
      <t>ルイ</t>
    </rPh>
    <phoneticPr fontId="2"/>
  </si>
  <si>
    <t>その他記念品・贈答品</t>
    <rPh sb="2" eb="3">
      <t>タ</t>
    </rPh>
    <rPh sb="3" eb="6">
      <t>キネンヒン</t>
    </rPh>
    <rPh sb="7" eb="10">
      <t>ゾウトウヒン</t>
    </rPh>
    <phoneticPr fontId="2"/>
  </si>
  <si>
    <t>被服・繊維・寝具</t>
    <rPh sb="0" eb="2">
      <t>ヒフク</t>
    </rPh>
    <rPh sb="3" eb="5">
      <t>センイ</t>
    </rPh>
    <rPh sb="6" eb="8">
      <t>シング</t>
    </rPh>
    <phoneticPr fontId="2"/>
  </si>
  <si>
    <t>作業服</t>
    <rPh sb="0" eb="3">
      <t>サギョウフク</t>
    </rPh>
    <phoneticPr fontId="2"/>
  </si>
  <si>
    <t>事務服</t>
    <rPh sb="0" eb="3">
      <t>ジムフク</t>
    </rPh>
    <phoneticPr fontId="2"/>
  </si>
  <si>
    <t>寝具</t>
    <rPh sb="0" eb="2">
      <t>シング</t>
    </rPh>
    <phoneticPr fontId="2"/>
  </si>
  <si>
    <t>（警察官用を除く）</t>
    <rPh sb="1" eb="4">
      <t>ケイサツカン</t>
    </rPh>
    <rPh sb="4" eb="5">
      <t>ヨウ</t>
    </rPh>
    <rPh sb="6" eb="7">
      <t>ノゾ</t>
    </rPh>
    <phoneticPr fontId="2"/>
  </si>
  <si>
    <t>その他被服・繊維</t>
    <rPh sb="2" eb="3">
      <t>タ</t>
    </rPh>
    <rPh sb="3" eb="5">
      <t>ヒフク</t>
    </rPh>
    <rPh sb="6" eb="8">
      <t>センイ</t>
    </rPh>
    <phoneticPr fontId="2"/>
  </si>
  <si>
    <t>靴・皮革・ゴム製品</t>
    <rPh sb="0" eb="1">
      <t>クツ</t>
    </rPh>
    <rPh sb="2" eb="4">
      <t>ヒカク</t>
    </rPh>
    <rPh sb="7" eb="9">
      <t>セイヒン</t>
    </rPh>
    <phoneticPr fontId="2"/>
  </si>
  <si>
    <t>靴（革）</t>
    <rPh sb="0" eb="1">
      <t>クツ</t>
    </rPh>
    <rPh sb="2" eb="3">
      <t>カワ</t>
    </rPh>
    <phoneticPr fontId="2"/>
  </si>
  <si>
    <t>靴（その他）</t>
    <rPh sb="0" eb="1">
      <t>クツ</t>
    </rPh>
    <rPh sb="4" eb="5">
      <t>タ</t>
    </rPh>
    <phoneticPr fontId="2"/>
  </si>
  <si>
    <t>安全靴</t>
    <rPh sb="0" eb="2">
      <t>アンゼン</t>
    </rPh>
    <rPh sb="2" eb="3">
      <t>クツ</t>
    </rPh>
    <phoneticPr fontId="2"/>
  </si>
  <si>
    <t>病院用シューズ</t>
    <rPh sb="0" eb="2">
      <t>ビョウイン</t>
    </rPh>
    <rPh sb="2" eb="3">
      <t>ヨウ</t>
    </rPh>
    <phoneticPr fontId="2"/>
  </si>
  <si>
    <t>その他革・ゴム製品</t>
    <rPh sb="2" eb="3">
      <t>タ</t>
    </rPh>
    <rPh sb="3" eb="4">
      <t>カワ</t>
    </rPh>
    <rPh sb="7" eb="9">
      <t>セイヒン</t>
    </rPh>
    <phoneticPr fontId="2"/>
  </si>
  <si>
    <t>消防・防災・保安用品</t>
    <rPh sb="0" eb="2">
      <t>ショウボウ</t>
    </rPh>
    <rPh sb="3" eb="5">
      <t>ボウサイ</t>
    </rPh>
    <rPh sb="6" eb="8">
      <t>ホアン</t>
    </rPh>
    <rPh sb="8" eb="10">
      <t>ヨウヒン</t>
    </rPh>
    <phoneticPr fontId="2"/>
  </si>
  <si>
    <t>消火器</t>
    <rPh sb="0" eb="3">
      <t>ショウカキ</t>
    </rPh>
    <phoneticPr fontId="2"/>
  </si>
  <si>
    <t>避難・救助器具</t>
    <rPh sb="0" eb="2">
      <t>ヒナン</t>
    </rPh>
    <rPh sb="3" eb="5">
      <t>キュウジョ</t>
    </rPh>
    <rPh sb="5" eb="7">
      <t>キグ</t>
    </rPh>
    <phoneticPr fontId="2"/>
  </si>
  <si>
    <t>防火服・防護服</t>
    <rPh sb="0" eb="2">
      <t>ボウカ</t>
    </rPh>
    <rPh sb="2" eb="3">
      <t>フク</t>
    </rPh>
    <rPh sb="4" eb="7">
      <t>ボウゴフク</t>
    </rPh>
    <phoneticPr fontId="2"/>
  </si>
  <si>
    <t>化学消火薬剤</t>
    <rPh sb="0" eb="2">
      <t>カガク</t>
    </rPh>
    <rPh sb="2" eb="4">
      <t>ショウカ</t>
    </rPh>
    <rPh sb="4" eb="6">
      <t>ヤクザイ</t>
    </rPh>
    <phoneticPr fontId="2"/>
  </si>
  <si>
    <t>防護マスク</t>
    <rPh sb="0" eb="2">
      <t>ボウゴ</t>
    </rPh>
    <phoneticPr fontId="2"/>
  </si>
  <si>
    <t>警察官用被服類</t>
    <rPh sb="0" eb="2">
      <t>ケイサツ</t>
    </rPh>
    <rPh sb="2" eb="3">
      <t>カン</t>
    </rPh>
    <rPh sb="3" eb="4">
      <t>ヨウ</t>
    </rPh>
    <rPh sb="4" eb="6">
      <t>ヒフク</t>
    </rPh>
    <rPh sb="6" eb="7">
      <t>ルイ</t>
    </rPh>
    <phoneticPr fontId="2"/>
  </si>
  <si>
    <t>男性警察官用被服</t>
    <rPh sb="0" eb="2">
      <t>ダンセイ</t>
    </rPh>
    <rPh sb="2" eb="5">
      <t>ケイサツカン</t>
    </rPh>
    <rPh sb="5" eb="6">
      <t>ヨウ</t>
    </rPh>
    <rPh sb="6" eb="8">
      <t>ヒフク</t>
    </rPh>
    <phoneticPr fontId="2"/>
  </si>
  <si>
    <t>女性警察官用被服</t>
    <rPh sb="0" eb="2">
      <t>ジョセイ</t>
    </rPh>
    <rPh sb="2" eb="5">
      <t>ケイサツカン</t>
    </rPh>
    <rPh sb="5" eb="6">
      <t>ヨウ</t>
    </rPh>
    <rPh sb="6" eb="8">
      <t>ヒフク</t>
    </rPh>
    <phoneticPr fontId="2"/>
  </si>
  <si>
    <t>帽子</t>
    <rPh sb="0" eb="2">
      <t>ボウシ</t>
    </rPh>
    <phoneticPr fontId="2"/>
  </si>
  <si>
    <t>（防護衣を除く）</t>
    <rPh sb="1" eb="3">
      <t>ボウゴ</t>
    </rPh>
    <rPh sb="3" eb="4">
      <t>イ</t>
    </rPh>
    <rPh sb="5" eb="6">
      <t>ノゾ</t>
    </rPh>
    <phoneticPr fontId="2"/>
  </si>
  <si>
    <t>手袋</t>
    <rPh sb="0" eb="2">
      <t>テブクロ</t>
    </rPh>
    <phoneticPr fontId="2"/>
  </si>
  <si>
    <t>警察官用装備品</t>
    <rPh sb="0" eb="3">
      <t>ケイサツカン</t>
    </rPh>
    <rPh sb="3" eb="4">
      <t>ヨウ</t>
    </rPh>
    <rPh sb="4" eb="6">
      <t>ソウビ</t>
    </rPh>
    <rPh sb="6" eb="7">
      <t>ヒン</t>
    </rPh>
    <phoneticPr fontId="2"/>
  </si>
  <si>
    <t>警棒</t>
    <rPh sb="0" eb="2">
      <t>ケイボウ</t>
    </rPh>
    <phoneticPr fontId="2"/>
  </si>
  <si>
    <t>帯革</t>
    <rPh sb="0" eb="1">
      <t>オビ</t>
    </rPh>
    <rPh sb="1" eb="2">
      <t>カワ</t>
    </rPh>
    <phoneticPr fontId="2"/>
  </si>
  <si>
    <t>手錠・捕縄</t>
    <rPh sb="0" eb="2">
      <t>テジョウ</t>
    </rPh>
    <rPh sb="3" eb="5">
      <t>ホジョウ</t>
    </rPh>
    <phoneticPr fontId="2"/>
  </si>
  <si>
    <t>防護楯</t>
    <rPh sb="0" eb="2">
      <t>ボウゴ</t>
    </rPh>
    <rPh sb="2" eb="3">
      <t>タテ</t>
    </rPh>
    <phoneticPr fontId="2"/>
  </si>
  <si>
    <t>看板・旗類等</t>
    <rPh sb="0" eb="2">
      <t>カンバン</t>
    </rPh>
    <rPh sb="3" eb="4">
      <t>ハタ</t>
    </rPh>
    <rPh sb="4" eb="5">
      <t>ルイ</t>
    </rPh>
    <rPh sb="5" eb="6">
      <t>トウ</t>
    </rPh>
    <phoneticPr fontId="2"/>
  </si>
  <si>
    <t>看板・掲示板</t>
    <rPh sb="0" eb="2">
      <t>カンバン</t>
    </rPh>
    <rPh sb="3" eb="6">
      <t>ケイジバン</t>
    </rPh>
    <phoneticPr fontId="2"/>
  </si>
  <si>
    <t>黒板</t>
    <rPh sb="0" eb="2">
      <t>コクバン</t>
    </rPh>
    <phoneticPr fontId="2"/>
  </si>
  <si>
    <t>のぼり旗</t>
    <rPh sb="3" eb="4">
      <t>ハタ</t>
    </rPh>
    <phoneticPr fontId="2"/>
  </si>
  <si>
    <t>横断幕</t>
    <rPh sb="0" eb="3">
      <t>オウダンマク</t>
    </rPh>
    <phoneticPr fontId="2"/>
  </si>
  <si>
    <t>懸垂幕</t>
    <rPh sb="0" eb="2">
      <t>ケンスイ</t>
    </rPh>
    <rPh sb="2" eb="3">
      <t>マク</t>
    </rPh>
    <phoneticPr fontId="2"/>
  </si>
  <si>
    <t>展示品</t>
    <rPh sb="0" eb="3">
      <t>テンジヒン</t>
    </rPh>
    <phoneticPr fontId="2"/>
  </si>
  <si>
    <t>模型</t>
    <rPh sb="0" eb="2">
      <t>モケイ</t>
    </rPh>
    <phoneticPr fontId="2"/>
  </si>
  <si>
    <t>舞台装置</t>
    <rPh sb="0" eb="2">
      <t>ブタイ</t>
    </rPh>
    <rPh sb="2" eb="4">
      <t>ソウチ</t>
    </rPh>
    <phoneticPr fontId="2"/>
  </si>
  <si>
    <t>日用雑貨品</t>
    <rPh sb="0" eb="2">
      <t>ニチヨウ</t>
    </rPh>
    <rPh sb="2" eb="4">
      <t>ザッカ</t>
    </rPh>
    <rPh sb="4" eb="5">
      <t>シナ</t>
    </rPh>
    <phoneticPr fontId="2"/>
  </si>
  <si>
    <t>家庭金物</t>
    <rPh sb="0" eb="2">
      <t>カテイ</t>
    </rPh>
    <rPh sb="2" eb="4">
      <t>カナモノ</t>
    </rPh>
    <phoneticPr fontId="2"/>
  </si>
  <si>
    <t>荒物</t>
    <rPh sb="0" eb="2">
      <t>アラモノ</t>
    </rPh>
    <phoneticPr fontId="2"/>
  </si>
  <si>
    <t>ワックス類</t>
    <rPh sb="4" eb="5">
      <t>ルイ</t>
    </rPh>
    <phoneticPr fontId="2"/>
  </si>
  <si>
    <t>洗剤</t>
    <rPh sb="0" eb="2">
      <t>センザイ</t>
    </rPh>
    <phoneticPr fontId="2"/>
  </si>
  <si>
    <t>その他日用雑貨</t>
    <rPh sb="2" eb="3">
      <t>タ</t>
    </rPh>
    <rPh sb="3" eb="5">
      <t>ニチヨウ</t>
    </rPh>
    <rPh sb="5" eb="7">
      <t>ザッカ</t>
    </rPh>
    <phoneticPr fontId="2"/>
  </si>
  <si>
    <t>動物類</t>
    <rPh sb="0" eb="2">
      <t>ドウブツ</t>
    </rPh>
    <rPh sb="2" eb="3">
      <t>ルイ</t>
    </rPh>
    <phoneticPr fontId="2"/>
  </si>
  <si>
    <t>鳥類</t>
    <rPh sb="0" eb="1">
      <t>トリ</t>
    </rPh>
    <rPh sb="1" eb="2">
      <t>ルイ</t>
    </rPh>
    <phoneticPr fontId="2"/>
  </si>
  <si>
    <t>魚類</t>
    <rPh sb="0" eb="1">
      <t>サカナ</t>
    </rPh>
    <rPh sb="1" eb="2">
      <t>ルイ</t>
    </rPh>
    <phoneticPr fontId="2"/>
  </si>
  <si>
    <t>獣類</t>
    <rPh sb="0" eb="1">
      <t>ケモノ</t>
    </rPh>
    <rPh sb="1" eb="2">
      <t>ルイ</t>
    </rPh>
    <phoneticPr fontId="2"/>
  </si>
  <si>
    <t>その他の動物</t>
    <rPh sb="2" eb="3">
      <t>タ</t>
    </rPh>
    <rPh sb="4" eb="6">
      <t>ドウブツ</t>
    </rPh>
    <phoneticPr fontId="2"/>
  </si>
  <si>
    <t>ＰＣソフトウエア</t>
    <phoneticPr fontId="2"/>
  </si>
  <si>
    <t>（機械類）</t>
    <phoneticPr fontId="2"/>
  </si>
  <si>
    <t>電話番号</t>
    <rPh sb="0" eb="2">
      <t>デンワ</t>
    </rPh>
    <rPh sb="2" eb="4">
      <t>バンゴウ</t>
    </rPh>
    <phoneticPr fontId="2"/>
  </si>
  <si>
    <t>競争入札の参加を　　　　　　　　　希望する営業種目
【単位：大分類】</t>
    <rPh sb="27" eb="29">
      <t>タンイ</t>
    </rPh>
    <rPh sb="30" eb="33">
      <t>ダイブンルイ</t>
    </rPh>
    <phoneticPr fontId="2"/>
  </si>
  <si>
    <t>申請者住所等</t>
    <rPh sb="0" eb="3">
      <t>シンセイシャ</t>
    </rPh>
    <rPh sb="3" eb="5">
      <t>ジュウショ</t>
    </rPh>
    <rPh sb="5" eb="6">
      <t>トウ</t>
    </rPh>
    <phoneticPr fontId="2"/>
  </si>
  <si>
    <t>入札通知書の送付先</t>
    <rPh sb="0" eb="2">
      <t>ニュウサツ</t>
    </rPh>
    <rPh sb="2" eb="4">
      <t>ツウチ</t>
    </rPh>
    <rPh sb="4" eb="5">
      <t>ショ</t>
    </rPh>
    <rPh sb="6" eb="8">
      <t>ソウフ</t>
    </rPh>
    <rPh sb="8" eb="9">
      <t>サキ</t>
    </rPh>
    <phoneticPr fontId="2"/>
  </si>
  <si>
    <t>送付先</t>
    <rPh sb="0" eb="2">
      <t>ソウフ</t>
    </rPh>
    <rPh sb="2" eb="3">
      <t>サキ</t>
    </rPh>
    <phoneticPr fontId="2"/>
  </si>
  <si>
    <t>マシニングセンタ</t>
    <phoneticPr fontId="2"/>
  </si>
  <si>
    <t>プロパンガス</t>
    <phoneticPr fontId="2"/>
  </si>
  <si>
    <t>ガードレール</t>
    <phoneticPr fontId="2"/>
  </si>
  <si>
    <t>コンクリート・セメント・</t>
    <phoneticPr fontId="2"/>
  </si>
  <si>
    <t>セメント</t>
    <phoneticPr fontId="2"/>
  </si>
  <si>
    <t>ピアノ</t>
    <phoneticPr fontId="2"/>
  </si>
  <si>
    <t>カップ</t>
    <phoneticPr fontId="2"/>
  </si>
  <si>
    <t>類</t>
    <phoneticPr fontId="2"/>
  </si>
  <si>
    <t>ヘルメット</t>
    <phoneticPr fontId="2"/>
  </si>
  <si>
    <t>平版印刷等</t>
    <rPh sb="0" eb="2">
      <t>ヘイバン</t>
    </rPh>
    <rPh sb="2" eb="4">
      <t>インサツ</t>
    </rPh>
    <rPh sb="4" eb="5">
      <t>トウ</t>
    </rPh>
    <phoneticPr fontId="2"/>
  </si>
  <si>
    <t>農作物検査機器</t>
    <rPh sb="0" eb="3">
      <t>ノウサクブツ</t>
    </rPh>
    <rPh sb="3" eb="5">
      <t>ケンサ</t>
    </rPh>
    <rPh sb="5" eb="7">
      <t>キキ</t>
    </rPh>
    <phoneticPr fontId="2"/>
  </si>
  <si>
    <t>ボイラ</t>
    <phoneticPr fontId="2"/>
  </si>
  <si>
    <t>その他ストーブ</t>
    <phoneticPr fontId="2"/>
  </si>
  <si>
    <t>ＦＦ式ストーブ</t>
    <rPh sb="2" eb="3">
      <t>シキ</t>
    </rPh>
    <phoneticPr fontId="2"/>
  </si>
  <si>
    <t>発電機</t>
    <rPh sb="0" eb="3">
      <t>ハツデンキ</t>
    </rPh>
    <phoneticPr fontId="2"/>
  </si>
  <si>
    <t>車両整備用品</t>
    <rPh sb="0" eb="2">
      <t>シャリョウ</t>
    </rPh>
    <rPh sb="2" eb="4">
      <t>セイビ</t>
    </rPh>
    <rPh sb="4" eb="6">
      <t>ヨウヒン</t>
    </rPh>
    <phoneticPr fontId="2"/>
  </si>
  <si>
    <t>船舶整備用品</t>
    <rPh sb="0" eb="2">
      <t>センパク</t>
    </rPh>
    <rPh sb="2" eb="4">
      <t>セイビ</t>
    </rPh>
    <rPh sb="4" eb="6">
      <t>ヨウヒン</t>
    </rPh>
    <phoneticPr fontId="2"/>
  </si>
  <si>
    <t>航空機整備用品</t>
    <rPh sb="0" eb="3">
      <t>コウクウキ</t>
    </rPh>
    <rPh sb="3" eb="5">
      <t>セイビ</t>
    </rPh>
    <rPh sb="5" eb="7">
      <t>ヨウヒン</t>
    </rPh>
    <phoneticPr fontId="2"/>
  </si>
  <si>
    <t>ビデオ（出版物）</t>
    <rPh sb="4" eb="7">
      <t>シュッパンブツ</t>
    </rPh>
    <phoneticPr fontId="2"/>
  </si>
  <si>
    <t>ＣＤ・ＤＶＤ（出版物）</t>
    <rPh sb="7" eb="10">
      <t>シュッパンブツ</t>
    </rPh>
    <phoneticPr fontId="2"/>
  </si>
  <si>
    <t>その他平版印刷等</t>
    <rPh sb="2" eb="3">
      <t>タ</t>
    </rPh>
    <rPh sb="3" eb="5">
      <t>ヘイバン</t>
    </rPh>
    <rPh sb="5" eb="7">
      <t>インサツ</t>
    </rPh>
    <rPh sb="7" eb="8">
      <t>トウ</t>
    </rPh>
    <phoneticPr fontId="2"/>
  </si>
  <si>
    <t>（千円未満
四捨五入）</t>
    <rPh sb="1" eb="3">
      <t>センエン</t>
    </rPh>
    <rPh sb="3" eb="5">
      <t>ミマン</t>
    </rPh>
    <rPh sb="6" eb="10">
      <t>シシャゴニュウ</t>
    </rPh>
    <phoneticPr fontId="2"/>
  </si>
  <si>
    <t>看護・介護用機器（ベッドを含む）</t>
    <rPh sb="0" eb="2">
      <t>カンゴ</t>
    </rPh>
    <rPh sb="3" eb="5">
      <t>カイゴ</t>
    </rPh>
    <rPh sb="5" eb="6">
      <t>ヨウ</t>
    </rPh>
    <rPh sb="6" eb="8">
      <t>キキ</t>
    </rPh>
    <rPh sb="13" eb="14">
      <t>フク</t>
    </rPh>
    <phoneticPr fontId="2"/>
  </si>
  <si>
    <t>　選択、記入してください。</t>
    <rPh sb="1" eb="3">
      <t>センタク</t>
    </rPh>
    <rPh sb="4" eb="6">
      <t>キニュウ</t>
    </rPh>
    <phoneticPr fontId="2"/>
  </si>
  <si>
    <t>１   入札・契約・代金の請求及び受領・復代理人の選任に関する権限を常時委任する場合に</t>
    <rPh sb="4" eb="6">
      <t>ニュウサツ</t>
    </rPh>
    <rPh sb="7" eb="9">
      <t>ケイヤク</t>
    </rPh>
    <rPh sb="10" eb="12">
      <t>ダイキン</t>
    </rPh>
    <rPh sb="13" eb="15">
      <t>セイキュウ</t>
    </rPh>
    <rPh sb="15" eb="16">
      <t>オヨ</t>
    </rPh>
    <rPh sb="17" eb="19">
      <t>ジュリョウ</t>
    </rPh>
    <rPh sb="28" eb="29">
      <t>カン</t>
    </rPh>
    <rPh sb="31" eb="33">
      <t>ケンゲン</t>
    </rPh>
    <rPh sb="34" eb="36">
      <t>ジョウジ</t>
    </rPh>
    <rPh sb="36" eb="38">
      <t>イニン</t>
    </rPh>
    <rPh sb="40" eb="42">
      <t>バアイ</t>
    </rPh>
    <phoneticPr fontId="2"/>
  </si>
  <si>
    <t>３   個々の入札時の入札書の提出のみを委任する場合は記入しないでください。</t>
    <rPh sb="4" eb="6">
      <t>ココ</t>
    </rPh>
    <rPh sb="7" eb="9">
      <t>ニュウサツ</t>
    </rPh>
    <rPh sb="9" eb="10">
      <t>ジ</t>
    </rPh>
    <rPh sb="11" eb="13">
      <t>ニュウサツ</t>
    </rPh>
    <rPh sb="13" eb="14">
      <t>ショ</t>
    </rPh>
    <rPh sb="15" eb="17">
      <t>テイシュツ</t>
    </rPh>
    <rPh sb="20" eb="22">
      <t>イニン</t>
    </rPh>
    <rPh sb="24" eb="26">
      <t>バアイ</t>
    </rPh>
    <rPh sb="27" eb="29">
      <t>キニュウ</t>
    </rPh>
    <phoneticPr fontId="2"/>
  </si>
  <si>
    <t>平版印刷等</t>
    <rPh sb="0" eb="2">
      <t>ヘイハン</t>
    </rPh>
    <rPh sb="2" eb="4">
      <t>インサツ</t>
    </rPh>
    <rPh sb="4" eb="5">
      <t>トウ</t>
    </rPh>
    <phoneticPr fontId="2"/>
  </si>
  <si>
    <t>靴・皮革・ゴム製品（警察官用を除く）</t>
    <rPh sb="0" eb="1">
      <t>クツ</t>
    </rPh>
    <rPh sb="2" eb="4">
      <t>ヒカク</t>
    </rPh>
    <rPh sb="7" eb="9">
      <t>セイヒン</t>
    </rPh>
    <rPh sb="10" eb="12">
      <t>ケイサツ</t>
    </rPh>
    <rPh sb="12" eb="13">
      <t>カン</t>
    </rPh>
    <rPh sb="13" eb="14">
      <t>ヨウ</t>
    </rPh>
    <rPh sb="15" eb="16">
      <t>ノゾ</t>
    </rPh>
    <phoneticPr fontId="2"/>
  </si>
  <si>
    <t>贈答用文具</t>
    <rPh sb="0" eb="2">
      <t>ゾウトウ</t>
    </rPh>
    <rPh sb="2" eb="3">
      <t>ヨウ</t>
    </rPh>
    <rPh sb="3" eb="5">
      <t>ブング</t>
    </rPh>
    <phoneticPr fontId="2"/>
  </si>
  <si>
    <t>法人番号</t>
    <rPh sb="0" eb="2">
      <t>ホウジン</t>
    </rPh>
    <rPh sb="2" eb="4">
      <t>バンゴウ</t>
    </rPh>
    <phoneticPr fontId="2"/>
  </si>
  <si>
    <t>コード</t>
    <phoneticPr fontId="2"/>
  </si>
  <si>
    <t>ストックフォーム</t>
    <phoneticPr fontId="2"/>
  </si>
  <si>
    <t>シュレッダ</t>
    <phoneticPr fontId="2"/>
  </si>
  <si>
    <t>パソコン・サーバ</t>
    <phoneticPr fontId="2"/>
  </si>
  <si>
    <t>トナーカートリッジ</t>
    <phoneticPr fontId="2"/>
  </si>
  <si>
    <t>カーテン・ブラインド</t>
    <phoneticPr fontId="2"/>
  </si>
  <si>
    <t>ポスター</t>
    <phoneticPr fontId="2"/>
  </si>
  <si>
    <t>マイクロフィルム</t>
    <phoneticPr fontId="2"/>
  </si>
  <si>
    <t>プロジェクター</t>
    <phoneticPr fontId="2"/>
  </si>
  <si>
    <t>ガスクロマトグラフ</t>
    <phoneticPr fontId="2"/>
  </si>
  <si>
    <t>消耗品</t>
    <phoneticPr fontId="2"/>
  </si>
  <si>
    <t>グレーダ</t>
    <phoneticPr fontId="2"/>
  </si>
  <si>
    <t>ドーザ</t>
    <phoneticPr fontId="2"/>
  </si>
  <si>
    <t>トラクタ</t>
    <phoneticPr fontId="2"/>
  </si>
  <si>
    <t>コンバイン</t>
    <phoneticPr fontId="2"/>
  </si>
  <si>
    <t>ＦＡシステム</t>
    <phoneticPr fontId="2"/>
  </si>
  <si>
    <t>空調機</t>
    <phoneticPr fontId="2"/>
  </si>
  <si>
    <t>空気清浄機</t>
    <phoneticPr fontId="2"/>
  </si>
  <si>
    <t>ポンプ</t>
    <phoneticPr fontId="2"/>
  </si>
  <si>
    <t>フォークリフト</t>
    <phoneticPr fontId="2"/>
  </si>
  <si>
    <t>消耗資材</t>
    <phoneticPr fontId="2"/>
  </si>
  <si>
    <t>トラック・バス</t>
    <phoneticPr fontId="2"/>
  </si>
  <si>
    <t>ヨット</t>
    <phoneticPr fontId="2"/>
  </si>
  <si>
    <t>ヘリコプター</t>
    <phoneticPr fontId="2"/>
  </si>
  <si>
    <t>装備品</t>
    <phoneticPr fontId="2"/>
  </si>
  <si>
    <t>ガソリン</t>
    <phoneticPr fontId="2"/>
  </si>
  <si>
    <t>ＣＮＧ</t>
    <phoneticPr fontId="2"/>
  </si>
  <si>
    <t>舗装材類</t>
    <phoneticPr fontId="2"/>
  </si>
  <si>
    <t>カーブミラー</t>
    <phoneticPr fontId="2"/>
  </si>
  <si>
    <t>スノーポール</t>
    <phoneticPr fontId="2"/>
  </si>
  <si>
    <t>デリネーター</t>
    <phoneticPr fontId="2"/>
  </si>
  <si>
    <t>ガラス</t>
    <phoneticPr fontId="2"/>
  </si>
  <si>
    <t>フレコンパック</t>
    <phoneticPr fontId="2"/>
  </si>
  <si>
    <t>ブルーシート</t>
    <phoneticPr fontId="2"/>
  </si>
  <si>
    <t>ベルト</t>
    <phoneticPr fontId="2"/>
  </si>
  <si>
    <t>ネクタイ</t>
    <phoneticPr fontId="2"/>
  </si>
  <si>
    <t>トイレットペーパー</t>
    <phoneticPr fontId="2"/>
  </si>
  <si>
    <t>図書カード</t>
    <rPh sb="0" eb="2">
      <t>トショ</t>
    </rPh>
    <phoneticPr fontId="2"/>
  </si>
  <si>
    <t>特別高圧（電気）</t>
    <rPh sb="0" eb="2">
      <t>トクベツ</t>
    </rPh>
    <rPh sb="2" eb="4">
      <t>コウアツ</t>
    </rPh>
    <rPh sb="5" eb="7">
      <t>デンキ</t>
    </rPh>
    <phoneticPr fontId="2"/>
  </si>
  <si>
    <t>畳</t>
    <rPh sb="0" eb="1">
      <t>タタミ</t>
    </rPh>
    <phoneticPr fontId="2"/>
  </si>
  <si>
    <t>文房具</t>
    <rPh sb="0" eb="3">
      <t>ブンボウグ</t>
    </rPh>
    <phoneticPr fontId="2"/>
  </si>
  <si>
    <t>複写サービス業務</t>
    <rPh sb="0" eb="2">
      <t>フクシャ</t>
    </rPh>
    <rPh sb="6" eb="8">
      <t>ギョウム</t>
    </rPh>
    <phoneticPr fontId="2"/>
  </si>
  <si>
    <t>耐震補強枠付鉄骨ブレース</t>
    <rPh sb="0" eb="2">
      <t>タイシン</t>
    </rPh>
    <rPh sb="2" eb="4">
      <t>ホキョウ</t>
    </rPh>
    <rPh sb="4" eb="5">
      <t>ワク</t>
    </rPh>
    <rPh sb="5" eb="6">
      <t>ツ</t>
    </rPh>
    <rPh sb="6" eb="8">
      <t>テッコツ</t>
    </rPh>
    <phoneticPr fontId="2"/>
  </si>
  <si>
    <t>高圧（電気）</t>
    <rPh sb="0" eb="2">
      <t>コウアツ</t>
    </rPh>
    <rPh sb="1" eb="2">
      <t>トッコウ</t>
    </rPh>
    <rPh sb="3" eb="5">
      <t>デンキ</t>
    </rPh>
    <phoneticPr fontId="2"/>
  </si>
  <si>
    <t>都道府県</t>
    <rPh sb="0" eb="4">
      <t>トドウフケン</t>
    </rPh>
    <phoneticPr fontId="2"/>
  </si>
  <si>
    <t>新規</t>
    <rPh sb="0" eb="2">
      <t>シンキ</t>
    </rPh>
    <phoneticPr fontId="2"/>
  </si>
  <si>
    <t>継続</t>
    <rPh sb="0" eb="2">
      <t>ケイゾク</t>
    </rPh>
    <phoneticPr fontId="2"/>
  </si>
  <si>
    <t>部署名・氏名</t>
    <rPh sb="0" eb="2">
      <t>ブショ</t>
    </rPh>
    <rPh sb="2" eb="3">
      <t>メイ</t>
    </rPh>
    <rPh sb="4" eb="6">
      <t>シメイ</t>
    </rPh>
    <phoneticPr fontId="2"/>
  </si>
  <si>
    <t>申請年月日</t>
    <rPh sb="0" eb="2">
      <t>シンセイ</t>
    </rPh>
    <rPh sb="2" eb="5">
      <t>ネンガッピ</t>
    </rPh>
    <phoneticPr fontId="2"/>
  </si>
  <si>
    <t>市区町村以下</t>
    <rPh sb="0" eb="2">
      <t>シク</t>
    </rPh>
    <rPh sb="2" eb="4">
      <t>チョウソン</t>
    </rPh>
    <rPh sb="4" eb="6">
      <t>イカ</t>
    </rPh>
    <phoneticPr fontId="2"/>
  </si>
  <si>
    <t>(1) 小売業</t>
    <phoneticPr fontId="2"/>
  </si>
  <si>
    <t>(2) 卸売業</t>
    <phoneticPr fontId="2"/>
  </si>
  <si>
    <t>(3) ソフトウェア業又は情報処理サービス業</t>
    <phoneticPr fontId="2"/>
  </si>
  <si>
    <t>(4) (3)以外のサービス業</t>
    <phoneticPr fontId="2"/>
  </si>
  <si>
    <t>(5) 旅館業</t>
    <phoneticPr fontId="2"/>
  </si>
  <si>
    <t>(6) ゴム製品製造業</t>
    <phoneticPr fontId="2"/>
  </si>
  <si>
    <t>(7) (6)以外の製造業、建築業、運輸業、その他業種</t>
    <phoneticPr fontId="2"/>
  </si>
  <si>
    <t>認証状況</t>
    <rPh sb="0" eb="2">
      <t>ニンショウ</t>
    </rPh>
    <rPh sb="2" eb="4">
      <t>ジョウキョウ</t>
    </rPh>
    <phoneticPr fontId="2"/>
  </si>
  <si>
    <t>該当あり</t>
    <rPh sb="0" eb="2">
      <t>ガイトウ</t>
    </rPh>
    <phoneticPr fontId="2"/>
  </si>
  <si>
    <t>該当なし</t>
    <rPh sb="0" eb="2">
      <t>ガイトウ</t>
    </rPh>
    <phoneticPr fontId="2"/>
  </si>
  <si>
    <t>ISO   9000シリーズ</t>
    <phoneticPr fontId="2"/>
  </si>
  <si>
    <t>ISO  14000シリーズ</t>
    <phoneticPr fontId="2"/>
  </si>
  <si>
    <t>ISO  27000シリーズ</t>
    <phoneticPr fontId="2"/>
  </si>
  <si>
    <t>職名</t>
    <phoneticPr fontId="2"/>
  </si>
  <si>
    <t>都道府県</t>
    <rPh sb="0" eb="4">
      <t>トドウフケン</t>
    </rPh>
    <phoneticPr fontId="2"/>
  </si>
  <si>
    <t>市区町村以下</t>
    <phoneticPr fontId="2"/>
  </si>
  <si>
    <t>登録する</t>
    <rPh sb="0" eb="2">
      <t>トウロク</t>
    </rPh>
    <phoneticPr fontId="2"/>
  </si>
  <si>
    <t>登録しない</t>
    <rPh sb="0" eb="2">
      <t>トウロク</t>
    </rPh>
    <phoneticPr fontId="2"/>
  </si>
  <si>
    <t>代理人を置く</t>
    <rPh sb="0" eb="3">
      <t>ダイリニン</t>
    </rPh>
    <rPh sb="4" eb="5">
      <t>オ</t>
    </rPh>
    <phoneticPr fontId="2"/>
  </si>
  <si>
    <t>代理人を置かない</t>
    <rPh sb="0" eb="3">
      <t>ダイリニン</t>
    </rPh>
    <rPh sb="4" eb="5">
      <t>オ</t>
    </rPh>
    <phoneticPr fontId="2"/>
  </si>
  <si>
    <t>明治</t>
    <rPh sb="0" eb="2">
      <t>メイジ</t>
    </rPh>
    <phoneticPr fontId="28"/>
  </si>
  <si>
    <t>M</t>
    <phoneticPr fontId="28"/>
  </si>
  <si>
    <t>大正</t>
    <rPh sb="0" eb="2">
      <t>タイショウ</t>
    </rPh>
    <phoneticPr fontId="28"/>
  </si>
  <si>
    <t>T</t>
    <phoneticPr fontId="28"/>
  </si>
  <si>
    <t>昭和</t>
    <rPh sb="0" eb="2">
      <t>ショウワ</t>
    </rPh>
    <phoneticPr fontId="28"/>
  </si>
  <si>
    <t>S</t>
    <phoneticPr fontId="28"/>
  </si>
  <si>
    <t>平成</t>
    <rPh sb="0" eb="2">
      <t>ヘイセイ</t>
    </rPh>
    <phoneticPr fontId="28"/>
  </si>
  <si>
    <t>H</t>
    <phoneticPr fontId="28"/>
  </si>
  <si>
    <t>令和</t>
    <rPh sb="0" eb="2">
      <t>レイワ</t>
    </rPh>
    <phoneticPr fontId="28"/>
  </si>
  <si>
    <t>R</t>
    <phoneticPr fontId="28"/>
  </si>
  <si>
    <t>令和</t>
    <rPh sb="0" eb="2">
      <t>レイワ</t>
    </rPh>
    <phoneticPr fontId="2"/>
  </si>
  <si>
    <t>年</t>
    <rPh sb="0" eb="1">
      <t>ネン</t>
    </rPh>
    <phoneticPr fontId="2"/>
  </si>
  <si>
    <t>月</t>
    <rPh sb="0" eb="1">
      <t>ガツ</t>
    </rPh>
    <phoneticPr fontId="2"/>
  </si>
  <si>
    <t>日</t>
    <rPh sb="0" eb="1">
      <t>ニチ</t>
    </rPh>
    <phoneticPr fontId="2"/>
  </si>
  <si>
    <t>年</t>
    <rPh sb="0" eb="1">
      <t>ネン</t>
    </rPh>
    <phoneticPr fontId="2"/>
  </si>
  <si>
    <t>日</t>
    <rPh sb="0" eb="1">
      <t>ニチ</t>
    </rPh>
    <phoneticPr fontId="2"/>
  </si>
  <si>
    <t>月</t>
    <rPh sb="0" eb="1">
      <t>ゲツ</t>
    </rPh>
    <phoneticPr fontId="2"/>
  </si>
  <si>
    <t>使用印鑑の登録</t>
    <rPh sb="0" eb="2">
      <t>シヨウ</t>
    </rPh>
    <rPh sb="2" eb="4">
      <t>インカン</t>
    </rPh>
    <rPh sb="5" eb="7">
      <t>トウロク</t>
    </rPh>
    <phoneticPr fontId="2"/>
  </si>
  <si>
    <t>本店所在市町村</t>
    <rPh sb="0" eb="2">
      <t>ホンテン</t>
    </rPh>
    <rPh sb="2" eb="4">
      <t>ショザイ</t>
    </rPh>
    <rPh sb="4" eb="7">
      <t>シチョウソン</t>
    </rPh>
    <phoneticPr fontId="2"/>
  </si>
  <si>
    <t>上記に記載した住所が
登記等と異なる理由</t>
    <rPh sb="0" eb="2">
      <t>ジョウキ</t>
    </rPh>
    <rPh sb="3" eb="5">
      <t>キサイ</t>
    </rPh>
    <rPh sb="7" eb="9">
      <t>ジュウショ</t>
    </rPh>
    <rPh sb="11" eb="13">
      <t>トウキ</t>
    </rPh>
    <rPh sb="13" eb="14">
      <t>トウ</t>
    </rPh>
    <rPh sb="18" eb="20">
      <t>リユウ</t>
    </rPh>
    <phoneticPr fontId="2"/>
  </si>
  <si>
    <t>１</t>
    <phoneticPr fontId="2"/>
  </si>
  <si>
    <t>２</t>
    <phoneticPr fontId="2"/>
  </si>
  <si>
    <t>３</t>
    <phoneticPr fontId="2"/>
  </si>
  <si>
    <t>４</t>
    <phoneticPr fontId="2"/>
  </si>
  <si>
    <t>５</t>
    <phoneticPr fontId="2"/>
  </si>
  <si>
    <t>６</t>
    <phoneticPr fontId="2"/>
  </si>
  <si>
    <t>申請書記載
担当者連絡先　　　　　　　　　　</t>
    <rPh sb="0" eb="3">
      <t>シンセイショ</t>
    </rPh>
    <rPh sb="3" eb="5">
      <t>キサイ</t>
    </rPh>
    <rPh sb="6" eb="9">
      <t>タントウシャ</t>
    </rPh>
    <rPh sb="9" eb="12">
      <t>レンラクサキ</t>
    </rPh>
    <phoneticPr fontId="2"/>
  </si>
  <si>
    <r>
      <t xml:space="preserve">業種 </t>
    </r>
    <r>
      <rPr>
        <sz val="10"/>
        <rFont val="ＭＳ Ｐ明朝"/>
        <family val="1"/>
        <charset val="128"/>
      </rPr>
      <t>（記載要領の業種欄から選択して記入）</t>
    </r>
    <rPh sb="0" eb="1">
      <t>ギョウ</t>
    </rPh>
    <rPh sb="1" eb="2">
      <t>タネ</t>
    </rPh>
    <rPh sb="4" eb="6">
      <t>キサイ</t>
    </rPh>
    <rPh sb="6" eb="8">
      <t>ヨウリョウ</t>
    </rPh>
    <rPh sb="9" eb="11">
      <t>ギョウシュ</t>
    </rPh>
    <rPh sb="11" eb="12">
      <t>ラン</t>
    </rPh>
    <rPh sb="14" eb="16">
      <t>センタク</t>
    </rPh>
    <rPh sb="18" eb="20">
      <t>キニュウ</t>
    </rPh>
    <phoneticPr fontId="2"/>
  </si>
  <si>
    <r>
      <t xml:space="preserve">従業員数 </t>
    </r>
    <r>
      <rPr>
        <sz val="10"/>
        <rFont val="ＭＳ Ｐ明朝"/>
        <family val="1"/>
        <charset val="128"/>
      </rPr>
      <t>（中小企業基本法に定める従業員数）</t>
    </r>
    <rPh sb="0" eb="3">
      <t>ジュウギョウイン</t>
    </rPh>
    <rPh sb="3" eb="4">
      <t>スウ</t>
    </rPh>
    <rPh sb="6" eb="8">
      <t>チュウショウ</t>
    </rPh>
    <rPh sb="8" eb="10">
      <t>キギョウ</t>
    </rPh>
    <rPh sb="10" eb="13">
      <t>キホンホウ</t>
    </rPh>
    <rPh sb="14" eb="15">
      <t>サダ</t>
    </rPh>
    <rPh sb="17" eb="20">
      <t>ジュウギョウイン</t>
    </rPh>
    <rPh sb="20" eb="21">
      <t>スウ</t>
    </rPh>
    <phoneticPr fontId="2"/>
  </si>
  <si>
    <r>
      <t xml:space="preserve">法人の役員又は個人の事業主の数 </t>
    </r>
    <r>
      <rPr>
        <sz val="10"/>
        <rFont val="ＭＳ Ｐ明朝"/>
        <family val="1"/>
        <charset val="128"/>
      </rPr>
      <t>(外書)</t>
    </r>
    <rPh sb="0" eb="2">
      <t>ホウジン</t>
    </rPh>
    <rPh sb="3" eb="5">
      <t>ヤクイン</t>
    </rPh>
    <rPh sb="5" eb="6">
      <t>マタ</t>
    </rPh>
    <rPh sb="7" eb="9">
      <t>コジン</t>
    </rPh>
    <rPh sb="10" eb="13">
      <t>ジギョウヌシ</t>
    </rPh>
    <rPh sb="14" eb="15">
      <t>カズ</t>
    </rPh>
    <rPh sb="17" eb="18">
      <t>ソト</t>
    </rPh>
    <rPh sb="18" eb="19">
      <t>ショ</t>
    </rPh>
    <phoneticPr fontId="2"/>
  </si>
  <si>
    <t>２   「許認可等始期」「許認可等終期」欄については、許認可等の期間の始期を上段に、終期を下段に</t>
    <phoneticPr fontId="2"/>
  </si>
  <si>
    <r>
      <t>１   営業許認可等とは、</t>
    </r>
    <r>
      <rPr>
        <u/>
        <sz val="10"/>
        <rFont val="ＭＳ Ｐ明朝"/>
        <family val="1"/>
        <charset val="128"/>
      </rPr>
      <t>物品の販売等に必要不可欠な</t>
    </r>
    <r>
      <rPr>
        <sz val="10"/>
        <rFont val="ＭＳ Ｐ明朝"/>
        <family val="1"/>
        <charset val="128"/>
      </rPr>
      <t>許可、登録、認可、届出等をいいます。</t>
    </r>
    <rPh sb="4" eb="6">
      <t>エイギョウ</t>
    </rPh>
    <rPh sb="6" eb="9">
      <t>キョニンカ</t>
    </rPh>
    <rPh sb="9" eb="10">
      <t>トウ</t>
    </rPh>
    <rPh sb="13" eb="15">
      <t>ブッピン</t>
    </rPh>
    <rPh sb="16" eb="18">
      <t>ハンバイ</t>
    </rPh>
    <rPh sb="18" eb="19">
      <t>トウ</t>
    </rPh>
    <rPh sb="20" eb="22">
      <t>ヒツヨウ</t>
    </rPh>
    <rPh sb="22" eb="25">
      <t>フカケツ</t>
    </rPh>
    <rPh sb="26" eb="28">
      <t>キョカ</t>
    </rPh>
    <rPh sb="29" eb="31">
      <t>トウロク</t>
    </rPh>
    <rPh sb="32" eb="34">
      <t>ニンカ</t>
    </rPh>
    <rPh sb="35" eb="37">
      <t>トドケデ</t>
    </rPh>
    <rPh sb="37" eb="38">
      <t>トウ</t>
    </rPh>
    <phoneticPr fontId="2"/>
  </si>
  <si>
    <t>　 記載してください。期間のないものについては、許認可等を受けた年月日を上段に記載してください。</t>
    <phoneticPr fontId="2"/>
  </si>
  <si>
    <t>注　　「資本金」欄の金額は、原則として登記事項証明書と一致するものとしますが、登記事項証明書と</t>
    <rPh sb="0" eb="1">
      <t>チュウ</t>
    </rPh>
    <phoneticPr fontId="2"/>
  </si>
  <si>
    <t xml:space="preserve">   貸借対照表で異なる場合は、新しい方の金額としてください。</t>
    <phoneticPr fontId="2"/>
  </si>
  <si>
    <t>県使用欄</t>
    <rPh sb="0" eb="1">
      <t>ケン</t>
    </rPh>
    <rPh sb="1" eb="4">
      <t>シヨウラン</t>
    </rPh>
    <phoneticPr fontId="2"/>
  </si>
  <si>
    <t>加入している</t>
    <rPh sb="0" eb="2">
      <t>カニュウ</t>
    </rPh>
    <phoneticPr fontId="2"/>
  </si>
  <si>
    <t>確認事項（該当するものを○で囲み、必要事項を記入してください。）</t>
    <rPh sb="0" eb="2">
      <t>カクニン</t>
    </rPh>
    <rPh sb="2" eb="4">
      <t>ジコウ</t>
    </rPh>
    <phoneticPr fontId="2"/>
  </si>
  <si>
    <t>加入していない</t>
    <rPh sb="0" eb="2">
      <t>カニュウ</t>
    </rPh>
    <phoneticPr fontId="2"/>
  </si>
  <si>
    <t>遵守している</t>
    <rPh sb="0" eb="2">
      <t>ジュンシュ</t>
    </rPh>
    <phoneticPr fontId="2"/>
  </si>
  <si>
    <t>(1)</t>
    <phoneticPr fontId="2"/>
  </si>
  <si>
    <t>遵守していない</t>
    <rPh sb="0" eb="2">
      <t>ジュンシュ</t>
    </rPh>
    <phoneticPr fontId="2"/>
  </si>
  <si>
    <r>
      <t xml:space="preserve">
社会保険について
</t>
    </r>
    <r>
      <rPr>
        <sz val="8"/>
        <rFont val="ＭＳ Ｐ明朝"/>
        <family val="1"/>
        <charset val="128"/>
      </rPr>
      <t>（健康保険・厚生年金保険）</t>
    </r>
    <rPh sb="1" eb="3">
      <t>シャカイ</t>
    </rPh>
    <rPh sb="3" eb="5">
      <t>ホケン</t>
    </rPh>
    <rPh sb="11" eb="13">
      <t>ケンコウ</t>
    </rPh>
    <rPh sb="13" eb="15">
      <t>ホケン</t>
    </rPh>
    <rPh sb="16" eb="18">
      <t>コウセイ</t>
    </rPh>
    <rPh sb="18" eb="20">
      <t>ネンキン</t>
    </rPh>
    <rPh sb="20" eb="22">
      <t>ホケン</t>
    </rPh>
    <phoneticPr fontId="2"/>
  </si>
  <si>
    <t>行っている</t>
    <rPh sb="0" eb="1">
      <t>オコナ</t>
    </rPh>
    <phoneticPr fontId="2"/>
  </si>
  <si>
    <t>(2)</t>
    <phoneticPr fontId="2"/>
  </si>
  <si>
    <t>行っていない</t>
    <rPh sb="0" eb="1">
      <t>オコナ</t>
    </rPh>
    <phoneticPr fontId="2"/>
  </si>
  <si>
    <r>
      <t xml:space="preserve">
労働保険について
</t>
    </r>
    <r>
      <rPr>
        <sz val="8"/>
        <rFont val="ＭＳ Ｐ明朝"/>
        <family val="1"/>
        <charset val="128"/>
      </rPr>
      <t>（雇用保険・労災保険）</t>
    </r>
    <rPh sb="1" eb="3">
      <t>ロウドウ</t>
    </rPh>
    <rPh sb="3" eb="5">
      <t>ホケン</t>
    </rPh>
    <rPh sb="11" eb="13">
      <t>コヨウ</t>
    </rPh>
    <rPh sb="13" eb="15">
      <t>ホケン</t>
    </rPh>
    <rPh sb="16" eb="18">
      <t>ロウサイ</t>
    </rPh>
    <rPh sb="18" eb="20">
      <t>ホケン</t>
    </rPh>
    <phoneticPr fontId="2"/>
  </si>
  <si>
    <t>なし</t>
    <phoneticPr fontId="2"/>
  </si>
  <si>
    <t>◯</t>
    <phoneticPr fontId="2"/>
  </si>
  <si>
    <t>(3)</t>
    <phoneticPr fontId="2"/>
  </si>
  <si>
    <t>あり</t>
    <phoneticPr fontId="2"/>
  </si>
  <si>
    <t xml:space="preserve">
最低賃金について</t>
    <rPh sb="1" eb="3">
      <t>サイテイ</t>
    </rPh>
    <rPh sb="3" eb="5">
      <t>チンギン</t>
    </rPh>
    <phoneticPr fontId="2"/>
  </si>
  <si>
    <t>(4)</t>
    <phoneticPr fontId="2"/>
  </si>
  <si>
    <t xml:space="preserve">
個人住民税の特別徴収について</t>
    <rPh sb="1" eb="3">
      <t>コジン</t>
    </rPh>
    <rPh sb="3" eb="6">
      <t>ジュウミンゼイ</t>
    </rPh>
    <rPh sb="7" eb="9">
      <t>トクベツ</t>
    </rPh>
    <rPh sb="9" eb="11">
      <t>チョウシュウ</t>
    </rPh>
    <phoneticPr fontId="2"/>
  </si>
  <si>
    <t>第１号様式　別紙５</t>
    <rPh sb="6" eb="8">
      <t>ベッシ</t>
    </rPh>
    <phoneticPr fontId="2"/>
  </si>
  <si>
    <t>その他住所</t>
    <rPh sb="2" eb="3">
      <t>タ</t>
    </rPh>
    <rPh sb="3" eb="5">
      <t>ジュウショ</t>
    </rPh>
    <phoneticPr fontId="2"/>
  </si>
  <si>
    <r>
      <rPr>
        <b/>
        <u/>
        <sz val="11"/>
        <rFont val="ＭＳ Ｐゴシック"/>
        <family val="3"/>
        <charset val="128"/>
      </rPr>
      <t>「その他住所」を指定した場合のみ</t>
    </r>
    <r>
      <rPr>
        <sz val="11"/>
        <rFont val="ＭＳ Ｐゴシック"/>
        <family val="3"/>
        <charset val="128"/>
      </rPr>
      <t>、</t>
    </r>
    <r>
      <rPr>
        <sz val="11"/>
        <rFont val="ＭＳ Ｐ明朝"/>
        <family val="1"/>
        <charset val="128"/>
      </rPr>
      <t>以下に記入してください。</t>
    </r>
    <rPh sb="3" eb="4">
      <t>タ</t>
    </rPh>
    <rPh sb="4" eb="6">
      <t>ジュウショ</t>
    </rPh>
    <rPh sb="8" eb="10">
      <t>シテイ</t>
    </rPh>
    <rPh sb="12" eb="14">
      <t>バアイ</t>
    </rPh>
    <rPh sb="17" eb="19">
      <t>イカ</t>
    </rPh>
    <rPh sb="20" eb="22">
      <t>キニュウ</t>
    </rPh>
    <phoneticPr fontId="2"/>
  </si>
  <si>
    <t>本店住所</t>
    <rPh sb="0" eb="2">
      <t>ホンテン</t>
    </rPh>
    <rPh sb="2" eb="4">
      <t>ジュウショ</t>
    </rPh>
    <phoneticPr fontId="2"/>
  </si>
  <si>
    <t>□</t>
    <phoneticPr fontId="2"/>
  </si>
  <si>
    <t>■</t>
    <phoneticPr fontId="2"/>
  </si>
  <si>
    <t>□</t>
  </si>
  <si>
    <t>0101</t>
    <phoneticPr fontId="2"/>
  </si>
  <si>
    <t>0102</t>
    <phoneticPr fontId="2"/>
  </si>
  <si>
    <t>0201</t>
    <phoneticPr fontId="2"/>
  </si>
  <si>
    <t>0301</t>
    <phoneticPr fontId="2"/>
  </si>
  <si>
    <t>0302</t>
    <phoneticPr fontId="2"/>
  </si>
  <si>
    <t>0303</t>
    <phoneticPr fontId="2"/>
  </si>
  <si>
    <t>0304</t>
    <phoneticPr fontId="2"/>
  </si>
  <si>
    <t>0305</t>
    <phoneticPr fontId="2"/>
  </si>
  <si>
    <t>0401</t>
    <phoneticPr fontId="2"/>
  </si>
  <si>
    <t>0402</t>
    <phoneticPr fontId="2"/>
  </si>
  <si>
    <t>0403</t>
    <phoneticPr fontId="2"/>
  </si>
  <si>
    <t>0404</t>
    <phoneticPr fontId="2"/>
  </si>
  <si>
    <t>0405</t>
    <phoneticPr fontId="2"/>
  </si>
  <si>
    <t>0406</t>
    <phoneticPr fontId="2"/>
  </si>
  <si>
    <t>0407</t>
    <phoneticPr fontId="2"/>
  </si>
  <si>
    <t>0408</t>
    <phoneticPr fontId="2"/>
  </si>
  <si>
    <t>0409</t>
    <phoneticPr fontId="2"/>
  </si>
  <si>
    <t>0410</t>
    <phoneticPr fontId="2"/>
  </si>
  <si>
    <t>0411</t>
    <phoneticPr fontId="2"/>
  </si>
  <si>
    <t>0501</t>
    <phoneticPr fontId="2"/>
  </si>
  <si>
    <t>0502</t>
    <phoneticPr fontId="2"/>
  </si>
  <si>
    <t>0503</t>
    <phoneticPr fontId="2"/>
  </si>
  <si>
    <t>0601</t>
    <phoneticPr fontId="2"/>
  </si>
  <si>
    <t>0602</t>
    <phoneticPr fontId="2"/>
  </si>
  <si>
    <t>0603</t>
    <phoneticPr fontId="2"/>
  </si>
  <si>
    <t>0701</t>
    <phoneticPr fontId="2"/>
  </si>
  <si>
    <t>0801</t>
    <phoneticPr fontId="2"/>
  </si>
  <si>
    <t>0802</t>
    <phoneticPr fontId="2"/>
  </si>
  <si>
    <t>0803</t>
    <phoneticPr fontId="2"/>
  </si>
  <si>
    <t>0804</t>
    <phoneticPr fontId="2"/>
  </si>
  <si>
    <t>0805</t>
    <phoneticPr fontId="2"/>
  </si>
  <si>
    <t>0901</t>
    <phoneticPr fontId="2"/>
  </si>
  <si>
    <t>0902</t>
    <phoneticPr fontId="2"/>
  </si>
  <si>
    <t>0903</t>
    <phoneticPr fontId="2"/>
  </si>
  <si>
    <t>0904</t>
    <phoneticPr fontId="2"/>
  </si>
  <si>
    <t>0905</t>
    <phoneticPr fontId="2"/>
  </si>
  <si>
    <t>0906</t>
    <phoneticPr fontId="2"/>
  </si>
  <si>
    <t>0907</t>
    <phoneticPr fontId="2"/>
  </si>
  <si>
    <t>0908</t>
    <phoneticPr fontId="2"/>
  </si>
  <si>
    <t>0909</t>
    <phoneticPr fontId="2"/>
  </si>
  <si>
    <t>0910</t>
    <phoneticPr fontId="2"/>
  </si>
  <si>
    <t>0911</t>
    <phoneticPr fontId="2"/>
  </si>
  <si>
    <t>0912</t>
    <phoneticPr fontId="2"/>
  </si>
  <si>
    <t>0913</t>
    <phoneticPr fontId="2"/>
  </si>
  <si>
    <t>0914</t>
    <phoneticPr fontId="2"/>
  </si>
  <si>
    <r>
      <t>２   代理人を選定した場合は、</t>
    </r>
    <r>
      <rPr>
        <sz val="10"/>
        <rFont val="ＭＳ Ｐゴシック"/>
        <family val="3"/>
        <charset val="128"/>
      </rPr>
      <t>代理人の名前で、契約、請求することとなります</t>
    </r>
    <r>
      <rPr>
        <sz val="10"/>
        <rFont val="ＭＳ Ｐ明朝"/>
        <family val="1"/>
        <charset val="128"/>
      </rPr>
      <t>。</t>
    </r>
    <rPh sb="4" eb="7">
      <t>ダイリニン</t>
    </rPh>
    <rPh sb="8" eb="10">
      <t>センテイ</t>
    </rPh>
    <rPh sb="12" eb="14">
      <t>バアイ</t>
    </rPh>
    <rPh sb="16" eb="19">
      <t>ダイリニン</t>
    </rPh>
    <rPh sb="20" eb="22">
      <t>ナマエ</t>
    </rPh>
    <rPh sb="24" eb="26">
      <t>ケイヤク</t>
    </rPh>
    <rPh sb="27" eb="29">
      <t>セイキュウ</t>
    </rPh>
    <phoneticPr fontId="2"/>
  </si>
  <si>
    <r>
      <t xml:space="preserve">４   </t>
    </r>
    <r>
      <rPr>
        <u/>
        <sz val="10"/>
        <rFont val="ＭＳ Ｐゴシック"/>
        <family val="3"/>
        <charset val="128"/>
      </rPr>
      <t>「支店等名称」は、「商号又は名称」から記載</t>
    </r>
    <r>
      <rPr>
        <sz val="10"/>
        <rFont val="ＭＳ Ｐ明朝"/>
        <family val="1"/>
        <charset val="128"/>
      </rPr>
      <t>してください。</t>
    </r>
    <rPh sb="5" eb="7">
      <t>シテン</t>
    </rPh>
    <rPh sb="7" eb="8">
      <t>トウ</t>
    </rPh>
    <rPh sb="8" eb="10">
      <t>メイショウ</t>
    </rPh>
    <rPh sb="14" eb="16">
      <t>ショウゴウ</t>
    </rPh>
    <rPh sb="16" eb="17">
      <t>マタ</t>
    </rPh>
    <rPh sb="18" eb="20">
      <t>メイショウ</t>
    </rPh>
    <rPh sb="23" eb="25">
      <t>キサイ</t>
    </rPh>
    <phoneticPr fontId="2"/>
  </si>
  <si>
    <t>代理人を置く場合は、代理人の印を使用することとなるため、代表者の使用印鑑は登録不要です。</t>
    <rPh sb="0" eb="3">
      <t>ダイリニン</t>
    </rPh>
    <rPh sb="4" eb="5">
      <t>オ</t>
    </rPh>
    <rPh sb="6" eb="8">
      <t>バアイ</t>
    </rPh>
    <rPh sb="10" eb="13">
      <t>ダイリニン</t>
    </rPh>
    <rPh sb="14" eb="15">
      <t>イン</t>
    </rPh>
    <rPh sb="16" eb="18">
      <t>シヨウ</t>
    </rPh>
    <rPh sb="28" eb="31">
      <t>ダイヒョウシャ</t>
    </rPh>
    <rPh sb="32" eb="34">
      <t>シヨウ</t>
    </rPh>
    <rPh sb="34" eb="36">
      <t>インカン</t>
    </rPh>
    <rPh sb="37" eb="39">
      <t>トウロク</t>
    </rPh>
    <rPh sb="39" eb="41">
      <t>フヨウ</t>
    </rPh>
    <phoneticPr fontId="2"/>
  </si>
  <si>
    <t>代理人を置かない場合で、入札当日の委任状、入札書、契約書、請求書の代表者印に実印以外</t>
    <rPh sb="0" eb="3">
      <t>ダイリニン</t>
    </rPh>
    <rPh sb="4" eb="5">
      <t>オ</t>
    </rPh>
    <rPh sb="8" eb="10">
      <t>バアイ</t>
    </rPh>
    <rPh sb="12" eb="14">
      <t>ニュウサツ</t>
    </rPh>
    <rPh sb="14" eb="16">
      <t>トウジツ</t>
    </rPh>
    <rPh sb="17" eb="19">
      <t>イニン</t>
    </rPh>
    <rPh sb="19" eb="20">
      <t>ジョウ</t>
    </rPh>
    <rPh sb="21" eb="23">
      <t>ニュウサツ</t>
    </rPh>
    <rPh sb="23" eb="24">
      <t>ショ</t>
    </rPh>
    <rPh sb="25" eb="27">
      <t>ケイヤク</t>
    </rPh>
    <rPh sb="27" eb="28">
      <t>ショ</t>
    </rPh>
    <rPh sb="29" eb="31">
      <t>セイキュウ</t>
    </rPh>
    <rPh sb="31" eb="32">
      <t>ショ</t>
    </rPh>
    <rPh sb="33" eb="36">
      <t>ダイヒョウシャ</t>
    </rPh>
    <rPh sb="36" eb="37">
      <t>イン</t>
    </rPh>
    <rPh sb="38" eb="40">
      <t>ジツイン</t>
    </rPh>
    <phoneticPr fontId="2"/>
  </si>
  <si>
    <t xml:space="preserve">  の印鑑を使用する場合に「登録する」を選択してください。</t>
    <rPh sb="3" eb="5">
      <t>インカン</t>
    </rPh>
    <rPh sb="6" eb="8">
      <t>シヨウ</t>
    </rPh>
    <rPh sb="10" eb="12">
      <t>バアイ</t>
    </rPh>
    <rPh sb="14" eb="16">
      <t>トウロク</t>
    </rPh>
    <rPh sb="20" eb="22">
      <t>センタク</t>
    </rPh>
    <phoneticPr fontId="2"/>
  </si>
  <si>
    <r>
      <t xml:space="preserve">加入していない場合、理由を記入してください。
</t>
    </r>
    <r>
      <rPr>
        <sz val="9"/>
        <rFont val="ＭＳ Ｐゴシック"/>
        <family val="3"/>
        <charset val="128"/>
      </rPr>
      <t>（例：労働時間が少ないので対象者に含まれない）</t>
    </r>
    <rPh sb="0" eb="2">
      <t>カニュウ</t>
    </rPh>
    <rPh sb="7" eb="9">
      <t>バアイ</t>
    </rPh>
    <rPh sb="10" eb="12">
      <t>リユウ</t>
    </rPh>
    <rPh sb="13" eb="15">
      <t>キニュウ</t>
    </rPh>
    <rPh sb="24" eb="25">
      <t>レイ</t>
    </rPh>
    <rPh sb="26" eb="28">
      <t>ロウドウ</t>
    </rPh>
    <rPh sb="28" eb="30">
      <t>ジカン</t>
    </rPh>
    <rPh sb="31" eb="32">
      <t>スク</t>
    </rPh>
    <rPh sb="36" eb="39">
      <t>タイショウシャ</t>
    </rPh>
    <rPh sb="40" eb="41">
      <t>フク</t>
    </rPh>
    <phoneticPr fontId="2"/>
  </si>
  <si>
    <t>加入して　　　　　　　　いる</t>
    <rPh sb="0" eb="2">
      <t>カニュウ</t>
    </rPh>
    <phoneticPr fontId="2"/>
  </si>
  <si>
    <t>加入して　　　　　　　　いない</t>
    <rPh sb="0" eb="2">
      <t>カニュウ</t>
    </rPh>
    <phoneticPr fontId="2"/>
  </si>
  <si>
    <r>
      <t xml:space="preserve">加入していない場合、理由を記入してください。
</t>
    </r>
    <r>
      <rPr>
        <sz val="9"/>
        <rFont val="ＭＳ Ｐゴシック"/>
        <family val="3"/>
        <charset val="128"/>
      </rPr>
      <t>（例：雇用している従業員がいないため）</t>
    </r>
    <rPh sb="0" eb="2">
      <t>カニュウ</t>
    </rPh>
    <rPh sb="7" eb="9">
      <t>バアイ</t>
    </rPh>
    <rPh sb="10" eb="12">
      <t>リユウ</t>
    </rPh>
    <rPh sb="13" eb="15">
      <t>キニュウ</t>
    </rPh>
    <rPh sb="24" eb="25">
      <t>レイ</t>
    </rPh>
    <rPh sb="26" eb="28">
      <t>コヨウ</t>
    </rPh>
    <rPh sb="32" eb="35">
      <t>ジュウギョウイン</t>
    </rPh>
    <phoneticPr fontId="2"/>
  </si>
  <si>
    <t>遵守して　　　　　いる</t>
    <rPh sb="0" eb="2">
      <t>ジュンシュ</t>
    </rPh>
    <phoneticPr fontId="2"/>
  </si>
  <si>
    <t>遵守して　　　　　　　　　いない</t>
    <rPh sb="0" eb="2">
      <t>ジュンシュ</t>
    </rPh>
    <phoneticPr fontId="2"/>
  </si>
  <si>
    <t>行って　　　　　　いる</t>
    <rPh sb="0" eb="1">
      <t>オコナ</t>
    </rPh>
    <phoneticPr fontId="2"/>
  </si>
  <si>
    <t>行って　　　　　　　いない</t>
    <rPh sb="0" eb="1">
      <t>オコナ</t>
    </rPh>
    <phoneticPr fontId="2"/>
  </si>
  <si>
    <t>（個人事業主は記載しない。）</t>
    <rPh sb="7" eb="9">
      <t>キサイ</t>
    </rPh>
    <phoneticPr fontId="2"/>
  </si>
  <si>
    <t>津南町長　桑原　悠　　様</t>
    <rPh sb="0" eb="2">
      <t>ツナン</t>
    </rPh>
    <rPh sb="2" eb="3">
      <t>チョウ</t>
    </rPh>
    <rPh sb="3" eb="4">
      <t>チョウ</t>
    </rPh>
    <rPh sb="5" eb="7">
      <t>クワハラ</t>
    </rPh>
    <rPh sb="8" eb="9">
      <t>ハルカ</t>
    </rPh>
    <rPh sb="11" eb="12">
      <t>サマ</t>
    </rPh>
    <phoneticPr fontId="2"/>
  </si>
  <si>
    <t>物品の販売、物品の製造の請負、物品の賃貸借、役務の提供</t>
    <rPh sb="0" eb="2">
      <t>ブッピン</t>
    </rPh>
    <rPh sb="3" eb="5">
      <t>ハンバイ</t>
    </rPh>
    <rPh sb="6" eb="8">
      <t>ブッピン</t>
    </rPh>
    <rPh sb="9" eb="11">
      <t>セイゾウ</t>
    </rPh>
    <rPh sb="12" eb="14">
      <t>ウケオイ</t>
    </rPh>
    <rPh sb="15" eb="17">
      <t>ブッピン</t>
    </rPh>
    <rPh sb="18" eb="21">
      <t>チンタイシャク</t>
    </rPh>
    <rPh sb="19" eb="21">
      <t>タイシャク</t>
    </rPh>
    <rPh sb="22" eb="24">
      <t>エキム</t>
    </rPh>
    <rPh sb="25" eb="27">
      <t>テイキョウ</t>
    </rPh>
    <phoneticPr fontId="2"/>
  </si>
  <si>
    <t>役務の提供</t>
    <rPh sb="0" eb="2">
      <t>エキム</t>
    </rPh>
    <rPh sb="3" eb="5">
      <t>テイキョウ</t>
    </rPh>
    <phoneticPr fontId="2"/>
  </si>
  <si>
    <t>印刷・印章</t>
    <rPh sb="0" eb="2">
      <t>インサツ</t>
    </rPh>
    <rPh sb="3" eb="5">
      <t>インショウ</t>
    </rPh>
    <phoneticPr fontId="2"/>
  </si>
  <si>
    <t>一般印刷</t>
    <rPh sb="0" eb="2">
      <t>イッパン</t>
    </rPh>
    <rPh sb="2" eb="4">
      <t>インサツ</t>
    </rPh>
    <phoneticPr fontId="2"/>
  </si>
  <si>
    <t>地図作成</t>
    <rPh sb="0" eb="2">
      <t>チズ</t>
    </rPh>
    <rPh sb="2" eb="4">
      <t>サクセイ</t>
    </rPh>
    <phoneticPr fontId="2"/>
  </si>
  <si>
    <t>特殊印刷</t>
    <rPh sb="0" eb="2">
      <t>トクシュ</t>
    </rPh>
    <rPh sb="2" eb="4">
      <t>インサツ</t>
    </rPh>
    <phoneticPr fontId="2"/>
  </si>
  <si>
    <t>青写真、マイクロ写真</t>
    <rPh sb="0" eb="1">
      <t>アオ</t>
    </rPh>
    <rPh sb="1" eb="3">
      <t>シャシン</t>
    </rPh>
    <rPh sb="8" eb="10">
      <t>シャシン</t>
    </rPh>
    <phoneticPr fontId="2"/>
  </si>
  <si>
    <t>その他印刷・印章業務</t>
    <rPh sb="2" eb="3">
      <t>タ</t>
    </rPh>
    <rPh sb="3" eb="5">
      <t>インサツ</t>
    </rPh>
    <rPh sb="6" eb="8">
      <t>インショウ</t>
    </rPh>
    <rPh sb="8" eb="10">
      <t>ギョウム</t>
    </rPh>
    <phoneticPr fontId="2"/>
  </si>
  <si>
    <t>道路・公園・森林等</t>
    <rPh sb="0" eb="2">
      <t>ドウロ</t>
    </rPh>
    <rPh sb="3" eb="5">
      <t>コウエン</t>
    </rPh>
    <rPh sb="6" eb="8">
      <t>シンリン</t>
    </rPh>
    <rPh sb="8" eb="9">
      <t>トウ</t>
    </rPh>
    <phoneticPr fontId="2"/>
  </si>
  <si>
    <t>維持管理</t>
    <rPh sb="0" eb="2">
      <t>イジ</t>
    </rPh>
    <rPh sb="2" eb="4">
      <t>カンリ</t>
    </rPh>
    <phoneticPr fontId="2"/>
  </si>
  <si>
    <t>取　扱　業　務（取扱業務にチェックマークを付して下さい。）</t>
    <rPh sb="0" eb="1">
      <t>トリ</t>
    </rPh>
    <rPh sb="2" eb="3">
      <t>アツカ</t>
    </rPh>
    <rPh sb="4" eb="5">
      <t>ギョウ</t>
    </rPh>
    <rPh sb="6" eb="7">
      <t>ツトム</t>
    </rPh>
    <rPh sb="8" eb="10">
      <t>トリアツカ</t>
    </rPh>
    <rPh sb="10" eb="12">
      <t>ギョウム</t>
    </rPh>
    <rPh sb="21" eb="22">
      <t>フ</t>
    </rPh>
    <rPh sb="24" eb="25">
      <t>クダ</t>
    </rPh>
    <phoneticPr fontId="2"/>
  </si>
  <si>
    <t>道路・公園等の清掃</t>
    <rPh sb="0" eb="2">
      <t>ドウロ</t>
    </rPh>
    <rPh sb="3" eb="5">
      <t>コウエン</t>
    </rPh>
    <rPh sb="5" eb="6">
      <t>トウ</t>
    </rPh>
    <rPh sb="7" eb="9">
      <t>セイソウ</t>
    </rPh>
    <phoneticPr fontId="2"/>
  </si>
  <si>
    <t>樹木の維持管理</t>
    <rPh sb="0" eb="2">
      <t>ジュモク</t>
    </rPh>
    <rPh sb="3" eb="5">
      <t>イジ</t>
    </rPh>
    <rPh sb="5" eb="7">
      <t>カンリ</t>
    </rPh>
    <phoneticPr fontId="2"/>
  </si>
  <si>
    <t>駐車場管理</t>
    <rPh sb="0" eb="3">
      <t>チュウシャジョウ</t>
    </rPh>
    <rPh sb="3" eb="5">
      <t>カンリ</t>
    </rPh>
    <phoneticPr fontId="2"/>
  </si>
  <si>
    <t>森林伐採等</t>
    <rPh sb="0" eb="2">
      <t>シンリン</t>
    </rPh>
    <rPh sb="2" eb="4">
      <t>バッサイ</t>
    </rPh>
    <rPh sb="4" eb="5">
      <t>トウ</t>
    </rPh>
    <phoneticPr fontId="2"/>
  </si>
  <si>
    <t>その他道路・公園・森林等維持管理業務</t>
    <rPh sb="2" eb="3">
      <t>タ</t>
    </rPh>
    <rPh sb="3" eb="5">
      <t>ドウロ</t>
    </rPh>
    <rPh sb="6" eb="8">
      <t>コウエン</t>
    </rPh>
    <rPh sb="9" eb="11">
      <t>シンリン</t>
    </rPh>
    <rPh sb="11" eb="12">
      <t>トウ</t>
    </rPh>
    <rPh sb="12" eb="14">
      <t>イジ</t>
    </rPh>
    <rPh sb="14" eb="16">
      <t>カンリ</t>
    </rPh>
    <rPh sb="16" eb="18">
      <t>ギョウム</t>
    </rPh>
    <phoneticPr fontId="2"/>
  </si>
  <si>
    <t>保守点検</t>
    <rPh sb="0" eb="2">
      <t>ホシュ</t>
    </rPh>
    <rPh sb="2" eb="4">
      <t>テンケン</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</si>
  <si>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</si>
  <si>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</si>
  <si>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空調設備保守点検</t>
    <rPh sb="0" eb="2">
      <t>クウチョウ</t>
    </rPh>
    <rPh sb="2" eb="8">
      <t>セツビホシュテンケン</t>
    </rPh>
    <phoneticPr fontId="2"/>
  </si>
  <si>
    <t>電算機器保守点検</t>
    <rPh sb="0" eb="2">
      <t>デンサン</t>
    </rPh>
    <rPh sb="2" eb="4">
      <t>キキ</t>
    </rPh>
    <rPh sb="4" eb="6">
      <t>ホシュ</t>
    </rPh>
    <rPh sb="6" eb="8">
      <t>テンケン</t>
    </rPh>
    <phoneticPr fontId="2"/>
  </si>
  <si>
    <t>印刷機器保守点検</t>
    <rPh sb="0" eb="2">
      <t>インサツ</t>
    </rPh>
    <rPh sb="2" eb="4">
      <t>キキ</t>
    </rPh>
    <rPh sb="4" eb="6">
      <t>ホシュ</t>
    </rPh>
    <rPh sb="6" eb="8">
      <t>テンケン</t>
    </rPh>
    <phoneticPr fontId="2"/>
  </si>
  <si>
    <t>その他保守点検業務</t>
    <rPh sb="2" eb="3">
      <t>タ</t>
    </rPh>
    <rPh sb="3" eb="5">
      <t>ホシュ</t>
    </rPh>
    <rPh sb="5" eb="7">
      <t>テンケン</t>
    </rPh>
    <rPh sb="7" eb="9">
      <t>ギョウム</t>
    </rPh>
    <phoneticPr fontId="2"/>
  </si>
  <si>
    <t>検査・測定・調査業務</t>
    <rPh sb="0" eb="2">
      <t>ケンサ</t>
    </rPh>
    <rPh sb="3" eb="5">
      <t>ソクテイ</t>
    </rPh>
    <rPh sb="6" eb="8">
      <t>チョウサ</t>
    </rPh>
    <rPh sb="8" eb="10">
      <t>ギョウム</t>
    </rPh>
    <phoneticPr fontId="2"/>
  </si>
  <si>
    <t>大気・水質・土質検査</t>
    <rPh sb="0" eb="2">
      <t>タイキ</t>
    </rPh>
    <rPh sb="3" eb="5">
      <t>スイシツ</t>
    </rPh>
    <rPh sb="6" eb="7">
      <t>ツチ</t>
    </rPh>
    <rPh sb="7" eb="8">
      <t>シツ</t>
    </rPh>
    <rPh sb="8" eb="10">
      <t>ケンサ</t>
    </rPh>
    <phoneticPr fontId="2"/>
  </si>
  <si>
    <t>環境アセスメント調査</t>
    <rPh sb="0" eb="2">
      <t>カンキョウ</t>
    </rPh>
    <rPh sb="8" eb="10">
      <t>チョウサ</t>
    </rPh>
    <phoneticPr fontId="2"/>
  </si>
  <si>
    <t>理化学検査・分析</t>
    <rPh sb="0" eb="3">
      <t>リカガク</t>
    </rPh>
    <rPh sb="3" eb="5">
      <t>ケンサ</t>
    </rPh>
    <rPh sb="6" eb="8">
      <t>ブンセキ</t>
    </rPh>
    <phoneticPr fontId="2"/>
  </si>
  <si>
    <t>その他検査・測定業務</t>
    <rPh sb="2" eb="3">
      <t>タ</t>
    </rPh>
    <rPh sb="3" eb="5">
      <t>ケンサ</t>
    </rPh>
    <rPh sb="6" eb="8">
      <t>ソクテイ</t>
    </rPh>
    <rPh sb="8" eb="10">
      <t>ギョウム</t>
    </rPh>
    <phoneticPr fontId="2"/>
  </si>
  <si>
    <t>運送・運行</t>
    <rPh sb="0" eb="2">
      <t>ウンソウ</t>
    </rPh>
    <rPh sb="3" eb="5">
      <t>ウンコウ</t>
    </rPh>
    <phoneticPr fontId="2"/>
  </si>
  <si>
    <t>観光バス運行</t>
    <rPh sb="0" eb="2">
      <t>カンコウ</t>
    </rPh>
    <rPh sb="4" eb="6">
      <t>ウンコウ</t>
    </rPh>
    <phoneticPr fontId="2"/>
  </si>
  <si>
    <t>車両運転業務</t>
    <rPh sb="0" eb="2">
      <t>シャリョウ</t>
    </rPh>
    <rPh sb="2" eb="4">
      <t>ウンテン</t>
    </rPh>
    <rPh sb="4" eb="6">
      <t>ギョウム</t>
    </rPh>
    <phoneticPr fontId="2"/>
  </si>
  <si>
    <t>その他運送・運行業務</t>
    <rPh sb="2" eb="3">
      <t>タ</t>
    </rPh>
    <rPh sb="3" eb="5">
      <t>ウンソウ</t>
    </rPh>
    <rPh sb="6" eb="8">
      <t>ウンコウ</t>
    </rPh>
    <rPh sb="8" eb="10">
      <t>ギョウム</t>
    </rPh>
    <phoneticPr fontId="2"/>
  </si>
  <si>
    <t>給食</t>
    <rPh sb="0" eb="2">
      <t>キュウショク</t>
    </rPh>
    <phoneticPr fontId="2"/>
  </si>
  <si>
    <t>学校給食</t>
    <rPh sb="0" eb="2">
      <t>ガッコウ</t>
    </rPh>
    <rPh sb="2" eb="4">
      <t>キュウショク</t>
    </rPh>
    <phoneticPr fontId="2"/>
  </si>
  <si>
    <t>病院給食</t>
    <rPh sb="0" eb="2">
      <t>ビョウイン</t>
    </rPh>
    <rPh sb="2" eb="4">
      <t>キュウショク</t>
    </rPh>
    <phoneticPr fontId="2"/>
  </si>
  <si>
    <t>その他給食業務</t>
    <rPh sb="2" eb="3">
      <t>タ</t>
    </rPh>
    <rPh sb="3" eb="5">
      <t>キュウショク</t>
    </rPh>
    <rPh sb="5" eb="7">
      <t>ギョウム</t>
    </rPh>
    <phoneticPr fontId="2"/>
  </si>
  <si>
    <t>制作等</t>
    <rPh sb="0" eb="2">
      <t>セイサク</t>
    </rPh>
    <rPh sb="2" eb="3">
      <t>トウ</t>
    </rPh>
    <phoneticPr fontId="2"/>
  </si>
  <si>
    <t>ホームページ</t>
    <phoneticPr fontId="2"/>
  </si>
  <si>
    <t>パンフレット</t>
    <phoneticPr fontId="2"/>
  </si>
  <si>
    <t>看板・案内板</t>
    <rPh sb="0" eb="2">
      <t>カンバン</t>
    </rPh>
    <rPh sb="3" eb="6">
      <t>アンナイバン</t>
    </rPh>
    <phoneticPr fontId="2"/>
  </si>
  <si>
    <t>その他制作業務</t>
    <rPh sb="2" eb="3">
      <t>タ</t>
    </rPh>
    <rPh sb="3" eb="5">
      <t>セイサク</t>
    </rPh>
    <rPh sb="5" eb="7">
      <t>ギョウム</t>
    </rPh>
    <phoneticPr fontId="2"/>
  </si>
  <si>
    <t>計画策定</t>
    <rPh sb="0" eb="2">
      <t>ケイカク</t>
    </rPh>
    <rPh sb="2" eb="4">
      <t>サクテイ</t>
    </rPh>
    <phoneticPr fontId="2"/>
  </si>
  <si>
    <t>福祉計画</t>
    <rPh sb="0" eb="2">
      <t>フクシ</t>
    </rPh>
    <rPh sb="2" eb="4">
      <t>ケイカク</t>
    </rPh>
    <phoneticPr fontId="2"/>
  </si>
  <si>
    <t>総合計画</t>
    <rPh sb="0" eb="2">
      <t>ソウゴウ</t>
    </rPh>
    <rPh sb="2" eb="4">
      <t>ケイカク</t>
    </rPh>
    <phoneticPr fontId="2"/>
  </si>
  <si>
    <t>その他計画策定業務</t>
    <rPh sb="2" eb="3">
      <t>タ</t>
    </rPh>
    <rPh sb="3" eb="5">
      <t>ケイカク</t>
    </rPh>
    <rPh sb="5" eb="7">
      <t>サクテイ</t>
    </rPh>
    <rPh sb="7" eb="9">
      <t>ギョウム</t>
    </rPh>
    <phoneticPr fontId="2"/>
  </si>
  <si>
    <t>電算</t>
    <rPh sb="0" eb="2">
      <t>デンサン</t>
    </rPh>
    <phoneticPr fontId="2"/>
  </si>
  <si>
    <t>システム・プログラム開発</t>
    <rPh sb="10" eb="12">
      <t>カイハツ</t>
    </rPh>
    <phoneticPr fontId="2"/>
  </si>
  <si>
    <t>電算処理</t>
    <rPh sb="0" eb="2">
      <t>デンサン</t>
    </rPh>
    <rPh sb="2" eb="4">
      <t>ショリ</t>
    </rPh>
    <phoneticPr fontId="2"/>
  </si>
  <si>
    <t>システム保守</t>
    <rPh sb="4" eb="6">
      <t>ホシュ</t>
    </rPh>
    <phoneticPr fontId="2"/>
  </si>
  <si>
    <t>データ入力</t>
    <rPh sb="3" eb="5">
      <t>ニュウリョク</t>
    </rPh>
    <phoneticPr fontId="2"/>
  </si>
  <si>
    <t>その他電算業務</t>
    <rPh sb="2" eb="3">
      <t>タ</t>
    </rPh>
    <rPh sb="3" eb="5">
      <t>デンサン</t>
    </rPh>
    <rPh sb="5" eb="7">
      <t>ギョウム</t>
    </rPh>
    <phoneticPr fontId="2"/>
  </si>
  <si>
    <t>人材派遣</t>
    <rPh sb="0" eb="2">
      <t>ジンザイ</t>
    </rPh>
    <rPh sb="2" eb="4">
      <t>ハケン</t>
    </rPh>
    <phoneticPr fontId="2"/>
  </si>
  <si>
    <t>ストレスチェック</t>
    <phoneticPr fontId="2"/>
  </si>
  <si>
    <t>清掃業務</t>
    <rPh sb="0" eb="2">
      <t>セイソウ</t>
    </rPh>
    <rPh sb="2" eb="4">
      <t>ギョウム</t>
    </rPh>
    <phoneticPr fontId="2"/>
  </si>
  <si>
    <t>警備業務</t>
    <rPh sb="0" eb="2">
      <t>ケイビ</t>
    </rPh>
    <rPh sb="2" eb="4">
      <t>ギョウム</t>
    </rPh>
    <phoneticPr fontId="2"/>
  </si>
  <si>
    <t>物品の賃貸借</t>
    <rPh sb="0" eb="2">
      <t>ブッピン</t>
    </rPh>
    <rPh sb="3" eb="6">
      <t>チンタイシャク</t>
    </rPh>
    <phoneticPr fontId="2"/>
  </si>
  <si>
    <t>取　扱　品　目（取扱品目にチェックマークを付して下さい。）</t>
    <rPh sb="0" eb="1">
      <t>トリ</t>
    </rPh>
    <rPh sb="2" eb="3">
      <t>アツカ</t>
    </rPh>
    <rPh sb="4" eb="5">
      <t>ヒン</t>
    </rPh>
    <rPh sb="6" eb="7">
      <t>モク</t>
    </rPh>
    <rPh sb="8" eb="10">
      <t>トリアツカ</t>
    </rPh>
    <rPh sb="10" eb="12">
      <t>ヒンモク</t>
    </rPh>
    <rPh sb="21" eb="22">
      <t>フ</t>
    </rPh>
    <rPh sb="24" eb="25">
      <t>クダ</t>
    </rPh>
    <phoneticPr fontId="2"/>
  </si>
  <si>
    <t>コンピュータ機器</t>
    <rPh sb="6" eb="8">
      <t>キキ</t>
    </rPh>
    <phoneticPr fontId="2"/>
  </si>
  <si>
    <t>複写機・印刷機</t>
    <rPh sb="0" eb="3">
      <t>フクシャキ</t>
    </rPh>
    <rPh sb="4" eb="6">
      <t>インサツ</t>
    </rPh>
    <rPh sb="6" eb="7">
      <t>キ</t>
    </rPh>
    <phoneticPr fontId="2"/>
  </si>
  <si>
    <t>自動車</t>
    <rPh sb="0" eb="3">
      <t>ジドウシャ</t>
    </rPh>
    <phoneticPr fontId="2"/>
  </si>
  <si>
    <t>リース・レンタル</t>
    <phoneticPr fontId="2"/>
  </si>
  <si>
    <t>10</t>
    <phoneticPr fontId="2"/>
  </si>
  <si>
    <t>11</t>
  </si>
  <si>
    <t>11</t>
    <phoneticPr fontId="2"/>
  </si>
  <si>
    <t>役務の提供</t>
    <rPh sb="0" eb="2">
      <t>エキム</t>
    </rPh>
    <rPh sb="3" eb="5">
      <t>テイキョウ</t>
    </rPh>
    <phoneticPr fontId="2"/>
  </si>
  <si>
    <t>物品の賃貸借</t>
    <phoneticPr fontId="2"/>
  </si>
  <si>
    <t>道路・公園・森林等維持管理</t>
    <rPh sb="0" eb="2">
      <t>ドウロ</t>
    </rPh>
    <rPh sb="3" eb="5">
      <t>コウエン</t>
    </rPh>
    <rPh sb="6" eb="8">
      <t>シンリン</t>
    </rPh>
    <rPh sb="8" eb="9">
      <t>トウ</t>
    </rPh>
    <phoneticPr fontId="2"/>
  </si>
  <si>
    <t>役務の提供</t>
    <phoneticPr fontId="2"/>
  </si>
  <si>
    <t>1001</t>
    <phoneticPr fontId="2"/>
  </si>
  <si>
    <t>1002</t>
  </si>
  <si>
    <t>1003</t>
  </si>
  <si>
    <t>1004</t>
  </si>
  <si>
    <t>1005</t>
  </si>
  <si>
    <t>1006</t>
  </si>
  <si>
    <t>1007</t>
  </si>
  <si>
    <t>1008</t>
  </si>
  <si>
    <t>1009</t>
  </si>
  <si>
    <t>1010</t>
  </si>
  <si>
    <t>1101</t>
    <phoneticPr fontId="2"/>
  </si>
  <si>
    <t>リース・レンタル</t>
    <phoneticPr fontId="2"/>
  </si>
  <si>
    <t>物　品　等　入　札　参　加　資　格　審　査　申　請　書</t>
    <rPh sb="0" eb="1">
      <t>モノ</t>
    </rPh>
    <rPh sb="2" eb="3">
      <t>シナ</t>
    </rPh>
    <rPh sb="4" eb="5">
      <t>トウ</t>
    </rPh>
    <rPh sb="6" eb="7">
      <t>イリ</t>
    </rPh>
    <rPh sb="8" eb="9">
      <t>サツ</t>
    </rPh>
    <rPh sb="10" eb="11">
      <t>サン</t>
    </rPh>
    <rPh sb="12" eb="13">
      <t>カ</t>
    </rPh>
    <rPh sb="14" eb="15">
      <t>シ</t>
    </rPh>
    <rPh sb="16" eb="17">
      <t>カク</t>
    </rPh>
    <rPh sb="18" eb="19">
      <t>シン</t>
    </rPh>
    <rPh sb="20" eb="21">
      <t>サ</t>
    </rPh>
    <rPh sb="22" eb="23">
      <t>サル</t>
    </rPh>
    <rPh sb="24" eb="25">
      <t>ショウ</t>
    </rPh>
    <rPh sb="26" eb="27">
      <t>ショ</t>
    </rPh>
    <phoneticPr fontId="2"/>
  </si>
  <si>
    <t>入札等の参加希望営業種目（第１号様式 別紙４「営業種目表」を参照）</t>
    <rPh sb="0" eb="2">
      <t>ニュウサツ</t>
    </rPh>
    <rPh sb="2" eb="3">
      <t>トウ</t>
    </rPh>
    <rPh sb="4" eb="6">
      <t>サンカ</t>
    </rPh>
    <rPh sb="6" eb="8">
      <t>キボウ</t>
    </rPh>
    <rPh sb="8" eb="10">
      <t>エイギョウ</t>
    </rPh>
    <rPh sb="10" eb="12">
      <t>シュモク</t>
    </rPh>
    <rPh sb="13" eb="14">
      <t>ダイ</t>
    </rPh>
    <rPh sb="15" eb="16">
      <t>ゴウ</t>
    </rPh>
    <rPh sb="16" eb="18">
      <t>ヨウシキ</t>
    </rPh>
    <rPh sb="19" eb="21">
      <t>ベッシ</t>
    </rPh>
    <rPh sb="23" eb="25">
      <t>エイギョウ</t>
    </rPh>
    <rPh sb="25" eb="27">
      <t>シュモク</t>
    </rPh>
    <rPh sb="27" eb="28">
      <t>ヒョウ</t>
    </rPh>
    <rPh sb="30" eb="32">
      <t>サンショウ</t>
    </rPh>
    <phoneticPr fontId="2"/>
  </si>
  <si>
    <r>
      <t>注　有効期限が</t>
    </r>
    <r>
      <rPr>
        <u/>
        <sz val="10"/>
        <rFont val="ＭＳ Ｐ明朝"/>
        <family val="1"/>
        <charset val="128"/>
      </rPr>
      <t>R8.3.31以前のものは登録できません</t>
    </r>
    <r>
      <rPr>
        <sz val="10"/>
        <rFont val="ＭＳ Ｐ明朝"/>
        <family val="1"/>
        <charset val="128"/>
      </rPr>
      <t>。有効期限を確認した上で記載してください。</t>
    </r>
    <rPh sb="0" eb="1">
      <t>チュウ</t>
    </rPh>
    <rPh sb="2" eb="4">
      <t>ユウコウ</t>
    </rPh>
    <rPh sb="4" eb="6">
      <t>キゲン</t>
    </rPh>
    <rPh sb="14" eb="16">
      <t>イゼン</t>
    </rPh>
    <rPh sb="20" eb="22">
      <t>トウロク</t>
    </rPh>
    <rPh sb="28" eb="30">
      <t>ユウコウ</t>
    </rPh>
    <rPh sb="30" eb="32">
      <t>キゲン</t>
    </rPh>
    <rPh sb="33" eb="35">
      <t>カクニン</t>
    </rPh>
    <rPh sb="37" eb="38">
      <t>ウエ</t>
    </rPh>
    <rPh sb="39" eb="41">
      <t>キサイ</t>
    </rPh>
    <phoneticPr fontId="2"/>
  </si>
  <si>
    <t xml:space="preserve"> 　　R8.3.31以前に期限が切れる場合で登録を希望する場合は、上記の欄は「該当なし」とし、</t>
    <rPh sb="10" eb="12">
      <t>イゼン</t>
    </rPh>
    <rPh sb="13" eb="15">
      <t>キゲン</t>
    </rPh>
    <rPh sb="16" eb="17">
      <t>キ</t>
    </rPh>
    <rPh sb="19" eb="21">
      <t>バアイ</t>
    </rPh>
    <rPh sb="22" eb="24">
      <t>トウロク</t>
    </rPh>
    <rPh sb="25" eb="27">
      <t>キボウ</t>
    </rPh>
    <rPh sb="29" eb="31">
      <t>バアイ</t>
    </rPh>
    <rPh sb="33" eb="35">
      <t>ジョウキ</t>
    </rPh>
    <rPh sb="36" eb="37">
      <t>ラン</t>
    </rPh>
    <rPh sb="39" eb="41">
      <t>ガイトウ</t>
    </rPh>
    <phoneticPr fontId="2"/>
  </si>
  <si>
    <t>　　 認証等の更新後、R8.4.1以降に 変更届を提出してください。</t>
    <phoneticPr fontId="2"/>
  </si>
  <si>
    <t>　令和８・９年度において、津南町で行われる下記の物品の購入、物品の製造の請負、借入及び役務等に係る入札、見積及び随意契約に参加する資格の審査を受けたいので、関係書類を添えて申請します。
　なお、この申請書及び添付書類の内容については、事実と相違ないことを誓約します。</t>
    <rPh sb="39" eb="41">
      <t>カリイレ</t>
    </rPh>
    <rPh sb="41" eb="42">
      <t>オヨ</t>
    </rPh>
    <rPh sb="43" eb="45">
      <t>エキム</t>
    </rPh>
    <rPh sb="45" eb="46">
      <t>トウ</t>
    </rPh>
    <rPh sb="52" eb="54">
      <t>ミツモ</t>
    </rPh>
    <phoneticPr fontId="2"/>
  </si>
  <si>
    <t>１　業種及び従業員数</t>
    <rPh sb="2" eb="4">
      <t>ギョウシュ</t>
    </rPh>
    <rPh sb="4" eb="5">
      <t>オヨ</t>
    </rPh>
    <rPh sb="6" eb="9">
      <t>ジュウギョウイン</t>
    </rPh>
    <rPh sb="9" eb="10">
      <t>スウ</t>
    </rPh>
    <phoneticPr fontId="2"/>
  </si>
  <si>
    <t>２　設立年月日（法人：登記上の年月日）・事業開始年月日 (個人)</t>
    <rPh sb="2" eb="4">
      <t>セツリツ</t>
    </rPh>
    <rPh sb="4" eb="7">
      <t>ネンガッピ</t>
    </rPh>
    <rPh sb="8" eb="10">
      <t>ホウジン</t>
    </rPh>
    <rPh sb="11" eb="14">
      <t>トウキジョウ</t>
    </rPh>
    <rPh sb="15" eb="18">
      <t>ネンガッピ</t>
    </rPh>
    <rPh sb="20" eb="22">
      <t>ジギョウ</t>
    </rPh>
    <rPh sb="22" eb="24">
      <t>カイシ</t>
    </rPh>
    <rPh sb="24" eb="27">
      <t>ネンガッピ</t>
    </rPh>
    <rPh sb="29" eb="31">
      <t>コジン</t>
    </rPh>
    <phoneticPr fontId="2"/>
  </si>
  <si>
    <t>３　物品販売等に係る営業許認可等</t>
    <rPh sb="2" eb="4">
      <t>ブッピン</t>
    </rPh>
    <rPh sb="4" eb="6">
      <t>ハンバイ</t>
    </rPh>
    <rPh sb="6" eb="7">
      <t>トウ</t>
    </rPh>
    <rPh sb="8" eb="9">
      <t>カカ</t>
    </rPh>
    <rPh sb="10" eb="12">
      <t>エイギョウ</t>
    </rPh>
    <rPh sb="12" eb="15">
      <t>キョニンカ</t>
    </rPh>
    <rPh sb="15" eb="16">
      <t>トウ</t>
    </rPh>
    <phoneticPr fontId="2"/>
  </si>
  <si>
    <t>４　経営状況等</t>
    <rPh sb="2" eb="4">
      <t>ケイエイ</t>
    </rPh>
    <rPh sb="4" eb="6">
      <t>ジョウキョウ</t>
    </rPh>
    <rPh sb="6" eb="7">
      <t>トウ</t>
    </rPh>
    <phoneticPr fontId="2"/>
  </si>
  <si>
    <r>
      <t>５　認証等の取得状況</t>
    </r>
    <r>
      <rPr>
        <b/>
        <sz val="10"/>
        <rFont val="ＭＳ Ｐゴシック"/>
        <family val="3"/>
        <charset val="128"/>
      </rPr>
      <t>（該当する項目を選択してください。）</t>
    </r>
    <rPh sb="2" eb="4">
      <t>ニンショウ</t>
    </rPh>
    <rPh sb="4" eb="5">
      <t>トウ</t>
    </rPh>
    <rPh sb="6" eb="8">
      <t>シュトク</t>
    </rPh>
    <rPh sb="8" eb="10">
      <t>ジョウキョウ</t>
    </rPh>
    <rPh sb="11" eb="13">
      <t>ガイトウ</t>
    </rPh>
    <rPh sb="15" eb="17">
      <t>コウモク</t>
    </rPh>
    <rPh sb="18" eb="20">
      <t>センタク</t>
    </rPh>
    <phoneticPr fontId="2"/>
  </si>
  <si>
    <r>
      <t>６　代理人の選定</t>
    </r>
    <r>
      <rPr>
        <b/>
        <sz val="10"/>
        <rFont val="ＭＳ Ｐゴシック"/>
        <family val="3"/>
        <charset val="128"/>
      </rPr>
      <t>（該当する項目を選択し、必要事項を記入してください。）</t>
    </r>
    <rPh sb="2" eb="5">
      <t>ダイリニン</t>
    </rPh>
    <rPh sb="6" eb="8">
      <t>センテイ</t>
    </rPh>
    <rPh sb="9" eb="11">
      <t>ガイトウ</t>
    </rPh>
    <rPh sb="13" eb="15">
      <t>コウモク</t>
    </rPh>
    <rPh sb="16" eb="18">
      <t>センタク</t>
    </rPh>
    <rPh sb="20" eb="22">
      <t>ヒツヨウ</t>
    </rPh>
    <rPh sb="22" eb="24">
      <t>ジコウ</t>
    </rPh>
    <rPh sb="25" eb="27">
      <t>キニュウ</t>
    </rPh>
    <phoneticPr fontId="2"/>
  </si>
  <si>
    <r>
      <t>７　使用印鑑（代表者が使用する実印以外の印鑑）の登録　</t>
    </r>
    <r>
      <rPr>
        <b/>
        <sz val="10"/>
        <rFont val="ＭＳ Ｐゴシック"/>
        <family val="3"/>
        <charset val="128"/>
      </rPr>
      <t>（該当する項目を選択してください。）</t>
    </r>
    <rPh sb="2" eb="4">
      <t>シヨウ</t>
    </rPh>
    <rPh sb="4" eb="6">
      <t>インカン</t>
    </rPh>
    <rPh sb="7" eb="10">
      <t>ダイヒョウシャ</t>
    </rPh>
    <rPh sb="11" eb="13">
      <t>シヨウ</t>
    </rPh>
    <rPh sb="15" eb="17">
      <t>ジツイン</t>
    </rPh>
    <rPh sb="17" eb="19">
      <t>イガイ</t>
    </rPh>
    <rPh sb="20" eb="22">
      <t>インカン</t>
    </rPh>
    <rPh sb="24" eb="26">
      <t>トウロク</t>
    </rPh>
    <rPh sb="35" eb="37">
      <t>センタク</t>
    </rPh>
    <phoneticPr fontId="2"/>
  </si>
  <si>
    <r>
      <t>８　入札通知書の送付先</t>
    </r>
    <r>
      <rPr>
        <b/>
        <sz val="10"/>
        <rFont val="ＭＳ Ｐゴシック"/>
        <family val="3"/>
        <charset val="128"/>
      </rPr>
      <t>（指定する送付先１つを選択し、「その他住所」の場合は必要事項を記入してください。）</t>
    </r>
    <rPh sb="2" eb="4">
      <t>ニュウサツ</t>
    </rPh>
    <rPh sb="4" eb="6">
      <t>ツウチ</t>
    </rPh>
    <rPh sb="6" eb="7">
      <t>ショ</t>
    </rPh>
    <rPh sb="8" eb="10">
      <t>ソウフ</t>
    </rPh>
    <rPh sb="10" eb="11">
      <t>サキ</t>
    </rPh>
    <rPh sb="12" eb="14">
      <t>シテイ</t>
    </rPh>
    <rPh sb="16" eb="19">
      <t>ソウフサキ</t>
    </rPh>
    <rPh sb="22" eb="24">
      <t>センタク</t>
    </rPh>
    <rPh sb="29" eb="30">
      <t>タ</t>
    </rPh>
    <rPh sb="30" eb="32">
      <t>ジュウショ</t>
    </rPh>
    <rPh sb="34" eb="36">
      <t>バアイ</t>
    </rPh>
    <rPh sb="37" eb="39">
      <t>ヒツヨウ</t>
    </rPh>
    <rPh sb="39" eb="41">
      <t>ジコウ</t>
    </rPh>
    <rPh sb="42" eb="44">
      <t>キニュウ</t>
    </rPh>
    <phoneticPr fontId="2"/>
  </si>
  <si>
    <r>
      <t>　※</t>
    </r>
    <r>
      <rPr>
        <u/>
        <sz val="10"/>
        <rFont val="ＭＳ Ｐゴシック"/>
        <family val="3"/>
        <charset val="128"/>
      </rPr>
      <t>「６」で「代理人を置く」を選択した場合は登録できません</t>
    </r>
    <r>
      <rPr>
        <sz val="10"/>
        <rFont val="ＭＳ Ｐゴシック"/>
        <family val="3"/>
        <charset val="128"/>
      </rPr>
      <t>。
　 　「６」で「代理人を置く」を選択した場合は、自動的に「登録しない」となります。</t>
    </r>
    <phoneticPr fontId="2"/>
  </si>
  <si>
    <t>別紙１から別紙２までのとおり</t>
    <rPh sb="0" eb="2">
      <t>ベッシ</t>
    </rPh>
    <rPh sb="5" eb="7">
      <t>ベッシ</t>
    </rPh>
    <phoneticPr fontId="2"/>
  </si>
  <si>
    <t>品目別、受取人ごとの指定はできません。</t>
    <phoneticPr fontId="2"/>
  </si>
  <si>
    <t>残骨灰等処理</t>
    <rPh sb="0" eb="2">
      <t>ザンコツ</t>
    </rPh>
    <rPh sb="2" eb="3">
      <t>ハイ</t>
    </rPh>
    <rPh sb="3" eb="4">
      <t>トウ</t>
    </rPh>
    <rPh sb="4" eb="6">
      <t>ショリ</t>
    </rPh>
    <phoneticPr fontId="2"/>
  </si>
  <si>
    <t>火葬場維持管理</t>
    <rPh sb="0" eb="3">
      <t>カソウバ</t>
    </rPh>
    <rPh sb="3" eb="5">
      <t>イジ</t>
    </rPh>
    <rPh sb="5" eb="7">
      <t>カンリ</t>
    </rPh>
    <phoneticPr fontId="2"/>
  </si>
  <si>
    <t>上水道施設維持管理</t>
    <phoneticPr fontId="2"/>
  </si>
  <si>
    <t>上水道管維持管理</t>
    <phoneticPr fontId="2"/>
  </si>
  <si>
    <t>上水道管調査</t>
    <phoneticPr fontId="2"/>
  </si>
  <si>
    <t>上水道施設等維持管理</t>
    <phoneticPr fontId="2"/>
  </si>
  <si>
    <t>浄水場運転管理</t>
    <phoneticPr fontId="2"/>
  </si>
  <si>
    <t>その他の上水道施設維持管理業務</t>
    <phoneticPr fontId="2"/>
  </si>
  <si>
    <t>下水道施設維持管理</t>
    <phoneticPr fontId="2"/>
  </si>
  <si>
    <t>下水道管維持管理</t>
    <phoneticPr fontId="2"/>
  </si>
  <si>
    <t>下水道管調査</t>
    <phoneticPr fontId="2"/>
  </si>
  <si>
    <t>下水道施設等維持管理</t>
    <phoneticPr fontId="2"/>
  </si>
  <si>
    <t>下水処理施設の運転管理</t>
    <phoneticPr fontId="2"/>
  </si>
  <si>
    <t>その他の下水道施設維持管理業務</t>
    <phoneticPr fontId="2"/>
  </si>
  <si>
    <t>消防設備保守点検</t>
    <rPh sb="0" eb="2">
      <t>ショウボウ</t>
    </rPh>
    <rPh sb="2" eb="4">
      <t>セツビ</t>
    </rPh>
    <rPh sb="4" eb="6">
      <t>ホシュ</t>
    </rPh>
    <rPh sb="6" eb="8">
      <t>テンケン</t>
    </rPh>
    <phoneticPr fontId="2"/>
  </si>
  <si>
    <t>自動ドア保守点検</t>
    <rPh sb="0" eb="2">
      <t>ジドウ</t>
    </rPh>
    <rPh sb="4" eb="8">
      <t>ホシュテンケン</t>
    </rPh>
    <phoneticPr fontId="2"/>
  </si>
  <si>
    <t>エレベーター保守点検</t>
    <rPh sb="6" eb="10">
      <t>ホシュテンケン</t>
    </rPh>
    <phoneticPr fontId="2"/>
  </si>
  <si>
    <t>浄化槽保守点検</t>
    <rPh sb="0" eb="3">
      <t>ジョウカソウ</t>
    </rPh>
    <rPh sb="3" eb="7">
      <t>ホシュテンケン</t>
    </rPh>
    <phoneticPr fontId="2"/>
  </si>
  <si>
    <t>交通量調査</t>
    <rPh sb="0" eb="5">
      <t>コウツウリョウチョウサ</t>
    </rPh>
    <phoneticPr fontId="2"/>
  </si>
  <si>
    <t>市場調査</t>
    <rPh sb="0" eb="2">
      <t>シジョウ</t>
    </rPh>
    <rPh sb="2" eb="4">
      <t>チョウサ</t>
    </rPh>
    <phoneticPr fontId="2"/>
  </si>
  <si>
    <t>廃棄物処理</t>
    <rPh sb="0" eb="5">
      <t>ハイキブツショリ</t>
    </rPh>
    <phoneticPr fontId="2"/>
  </si>
  <si>
    <t>廃棄物再生処理</t>
    <phoneticPr fontId="2"/>
  </si>
  <si>
    <t>一般廃棄物収集運搬</t>
    <phoneticPr fontId="2"/>
  </si>
  <si>
    <t>一般廃棄物中間処理、最終処分</t>
    <phoneticPr fontId="2"/>
  </si>
  <si>
    <t>産業廃棄物収集運搬</t>
    <phoneticPr fontId="2"/>
  </si>
  <si>
    <t>産業廃棄物中間処理、最終処分</t>
    <phoneticPr fontId="2"/>
  </si>
  <si>
    <t>その他の廃棄物処理業務</t>
    <phoneticPr fontId="2"/>
  </si>
  <si>
    <t>映画・ビデオ・写真</t>
    <phoneticPr fontId="2"/>
  </si>
  <si>
    <t>□</t>
    <phoneticPr fontId="2"/>
  </si>
  <si>
    <t>埋蔵文化財</t>
    <rPh sb="0" eb="5">
      <t>マイゾウブンカザイ</t>
    </rPh>
    <phoneticPr fontId="2"/>
  </si>
  <si>
    <t>発掘調査</t>
    <phoneticPr fontId="2"/>
  </si>
  <si>
    <t>自然科学分析・保存処理</t>
    <phoneticPr fontId="2"/>
  </si>
  <si>
    <t>遺構実測・遺物実測</t>
    <phoneticPr fontId="2"/>
  </si>
  <si>
    <t>発掘調査支援・重機掘削</t>
    <phoneticPr fontId="2"/>
  </si>
  <si>
    <t>文化財の修復</t>
    <phoneticPr fontId="2"/>
  </si>
  <si>
    <t>その他の埋蔵文化財業務</t>
    <phoneticPr fontId="2"/>
  </si>
  <si>
    <t>登録する</t>
    <rPh sb="0" eb="2">
      <t>トウロク</t>
    </rPh>
    <phoneticPr fontId="2"/>
  </si>
  <si>
    <t>登録しない</t>
    <rPh sb="0" eb="2">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</si>
</sst>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000"/>
    <numFmt numFmtId="178" formatCode="00"/>
    <numFmt numFmtId="179" formatCode=";;;"/>
    <numFmt numFmtId="180" formatCode="[&lt;=999]000;[&lt;=9999]000\-00;000\-0000"/>
    <numFmt numFmtId="181" formatCode="[$-411]ggge&quot;年&quot;m&quot;月&quot;d&quot;日&quot;;@"/>
    <numFmt numFmtId="182" formatCode="###\-###"/>
    <numFmt numFmtId="183" formatCode="#,##0;\-#,##0;0"/>
  </numFmts>
  <fonts count="4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6"/>
      <name val="ＭＳ Ｐゴシック"/>
      <family val="3"/>
      <charset val="128"/>
    </font>
    <font>
      <sz val="10"/>
      <name val="ＭＳ Ｐゴシック"/>
      <family val="3"/>
      <charset val="128"/>
    </font>
    <font>
      <sz val="10"/>
      <name val="ＭＳ Ｐ明朝"/>
      <family val="1"/>
      <charset val="128"/>
    </font>
    <font>
      <sz val="11"/>
      <color indexed="9"/>
      <name val="ＭＳ Ｐ明朝"/>
      <family val="1"/>
      <charset val="128"/>
    </font>
    <font>
      <sz val="9"/>
      <name val="ＭＳ Ｐ明朝"/>
      <family val="1"/>
      <charset val="128"/>
    </font>
    <font>
      <b/>
      <sz val="10"/>
      <name val="ＭＳ Ｐゴシック"/>
      <family val="3"/>
      <charset val="128"/>
    </font>
    <font>
      <sz val="16"/>
      <name val="ＭＳ Ｐ明朝"/>
      <family val="1"/>
      <charset val="128"/>
    </font>
    <font>
      <sz val="18"/>
      <name val="ＭＳ Ｐゴシック"/>
      <family val="3"/>
      <charset val="128"/>
    </font>
    <font>
      <sz val="8"/>
      <name val="ＭＳ Ｐ明朝"/>
      <family val="1"/>
      <charset val="128"/>
    </font>
    <font>
      <sz val="9"/>
      <name val="ＭＳ Ｐゴシック"/>
      <family val="3"/>
      <charset val="128"/>
    </font>
    <font>
      <u/>
      <sz val="11"/>
      <name val="ＭＳ Ｐ明朝"/>
      <family val="1"/>
      <charset val="128"/>
    </font>
    <font>
      <sz val="11"/>
      <color indexed="10"/>
      <name val="ＭＳ Ｐゴシック"/>
      <family val="3"/>
      <charset val="128"/>
    </font>
    <font>
      <sz val="9"/>
      <color indexed="81"/>
      <name val="ＭＳ Ｐゴシック"/>
      <family val="3"/>
      <charset val="128"/>
    </font>
    <font>
      <sz val="11"/>
      <color indexed="43"/>
      <name val="ＭＳ Ｐゴシック"/>
      <family val="3"/>
      <charset val="128"/>
    </font>
    <font>
      <sz val="11"/>
      <name val="ＭＳ 明朝"/>
      <family val="1"/>
      <charset val="128"/>
    </font>
    <font>
      <b/>
      <u/>
      <sz val="11"/>
      <name val="ＭＳ Ｐゴシック"/>
      <family val="3"/>
      <charset val="128"/>
    </font>
    <font>
      <u/>
      <sz val="10"/>
      <name val="ＭＳ Ｐゴシック"/>
      <family val="3"/>
      <charset val="128"/>
    </font>
    <font>
      <sz val="6"/>
      <name val="ＭＳ Ｐ明朝"/>
      <family val="1"/>
      <charset val="128"/>
    </font>
    <font>
      <sz val="9"/>
      <color indexed="81"/>
      <name val="MS P ゴシック"/>
      <family val="3"/>
      <charset val="128"/>
    </font>
    <font>
      <sz val="9"/>
      <color rgb="FFFF0000"/>
      <name val="ＭＳ Ｐゴシック"/>
      <family val="3"/>
      <charset val="128"/>
    </font>
    <font>
      <b/>
      <sz val="9"/>
      <color theme="1"/>
      <name val="ＭＳ Ｐゴシック"/>
      <family val="3"/>
      <charset val="128"/>
    </font>
    <font>
      <sz val="11"/>
      <color theme="1"/>
      <name val="ＭＳ Ｐ明朝"/>
      <family val="1"/>
      <charset val="128"/>
    </font>
    <font>
      <sz val="6"/>
      <name val="ＭＳ Ｐゴシック"/>
      <family val="2"/>
      <charset val="128"/>
      <scheme val="minor"/>
    </font>
    <font>
      <sz val="10.5"/>
      <name val="ＭＳ Ｐ明朝"/>
      <family val="1"/>
      <charset val="128"/>
    </font>
    <font>
      <sz val="8"/>
      <color rgb="FFFF0000"/>
      <name val="ＭＳ Ｐゴシック"/>
      <family val="3"/>
      <charset val="128"/>
    </font>
    <font>
      <b/>
      <sz val="10"/>
      <color rgb="FFFF0000"/>
      <name val="ＭＳ Ｐゴシック"/>
      <family val="3"/>
      <charset val="128"/>
    </font>
    <font>
      <u/>
      <sz val="10"/>
      <name val="ＭＳ Ｐ明朝"/>
      <family val="1"/>
      <charset val="128"/>
    </font>
    <font>
      <b/>
      <sz val="28"/>
      <color theme="1"/>
      <name val="ＭＳ Ｐゴシック"/>
      <family val="3"/>
      <charset val="128"/>
    </font>
    <font>
      <sz val="14"/>
      <name val="ＭＳ Ｐ明朝"/>
      <family val="1"/>
      <charset val="128"/>
    </font>
    <font>
      <sz val="11"/>
      <color indexed="43"/>
      <name val="ＭＳ Ｐ明朝"/>
      <family val="1"/>
      <charset val="128"/>
    </font>
    <font>
      <sz val="11"/>
      <color theme="0" tint="-0.34998626667073579"/>
      <name val="ＭＳ Ｐゴシック"/>
      <family val="3"/>
      <charset val="128"/>
    </font>
    <font>
      <b/>
      <sz val="9"/>
      <color indexed="81"/>
      <name val="MS P 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
      <sz val="10"/>
      <name val="ＭＳ 明朝"/>
      <family val="1"/>
      <charset val="128"/>
    </font>
    <font>
      <u/>
      <sz val="11"/>
      <color theme="1"/>
      <name val="ＭＳ Ｐゴシック"/>
      <family val="3"/>
      <charset val="128"/>
    </font>
    <font>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s>
  <borders count="84">
    <border>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703">
    <xf numFmtId="0" fontId="0" fillId="0" borderId="0" xfId="0">
      <alignment vertical="center"/>
    </xf>
    <xf numFmtId="0" fontId="3" fillId="2" borderId="0" xfId="0" applyFont="1" applyFill="1" applyProtection="1">
      <alignment vertical="center"/>
    </xf>
    <xf numFmtId="0" fontId="0" fillId="2" borderId="0" xfId="0" applyFill="1" applyProtection="1">
      <alignment vertical="center"/>
    </xf>
    <xf numFmtId="0" fontId="13" fillId="2" borderId="0" xfId="0" applyFont="1" applyFill="1" applyBorder="1" applyAlignment="1" applyProtection="1">
      <alignment horizontal="center" vertical="center" shrinkToFit="1"/>
    </xf>
    <xf numFmtId="0" fontId="5" fillId="2" borderId="0" xfId="0" applyFont="1" applyFill="1" applyProtection="1">
      <alignment vertical="center"/>
    </xf>
    <xf numFmtId="0" fontId="0" fillId="2" borderId="0" xfId="0" applyFill="1" applyBorder="1" applyProtection="1">
      <alignment vertical="center"/>
    </xf>
    <xf numFmtId="0" fontId="0" fillId="2" borderId="0" xfId="0" applyFill="1" applyBorder="1" applyAlignment="1" applyProtection="1">
      <alignment horizontal="center" vertical="center" shrinkToFit="1"/>
    </xf>
    <xf numFmtId="0" fontId="5" fillId="2" borderId="0" xfId="0" applyFont="1" applyFill="1" applyBorder="1" applyAlignment="1" applyProtection="1">
      <alignment vertical="center"/>
    </xf>
    <xf numFmtId="0" fontId="5" fillId="2" borderId="0" xfId="0" applyFont="1" applyFill="1" applyBorder="1" applyAlignment="1" applyProtection="1">
      <alignment vertical="center" shrinkToFit="1"/>
    </xf>
    <xf numFmtId="0" fontId="0" fillId="2" borderId="0" xfId="0" applyFill="1" applyAlignment="1" applyProtection="1">
      <alignment horizontal="left" vertical="top" wrapText="1"/>
    </xf>
    <xf numFmtId="0" fontId="1" fillId="2" borderId="0" xfId="0" applyFont="1" applyFill="1" applyAlignment="1" applyProtection="1">
      <alignment horizontal="left" vertical="top"/>
    </xf>
    <xf numFmtId="0" fontId="5" fillId="2" borderId="0" xfId="0" applyFont="1" applyFill="1" applyAlignment="1" applyProtection="1">
      <alignment vertical="top" wrapText="1"/>
    </xf>
    <xf numFmtId="0" fontId="5" fillId="2" borderId="0" xfId="0" applyFont="1" applyFill="1" applyAlignment="1" applyProtection="1">
      <alignment vertical="center"/>
    </xf>
    <xf numFmtId="0" fontId="0" fillId="2" borderId="0" xfId="0" applyFont="1" applyFill="1" applyAlignment="1" applyProtection="1">
      <alignment horizontal="left"/>
    </xf>
    <xf numFmtId="0" fontId="5" fillId="2" borderId="0" xfId="0" applyFont="1" applyFill="1" applyAlignment="1" applyProtection="1">
      <alignment horizontal="left" wrapText="1"/>
    </xf>
    <xf numFmtId="0" fontId="5" fillId="2" borderId="0" xfId="0" applyFont="1" applyFill="1" applyAlignment="1" applyProtection="1">
      <alignment wrapText="1"/>
    </xf>
    <xf numFmtId="0" fontId="5" fillId="2" borderId="0" xfId="0" applyFont="1" applyFill="1" applyBorder="1" applyProtection="1">
      <alignment vertical="center"/>
    </xf>
    <xf numFmtId="0" fontId="0" fillId="2" borderId="1" xfId="0" applyFill="1" applyBorder="1" applyProtection="1">
      <alignment vertical="center"/>
    </xf>
    <xf numFmtId="178" fontId="5" fillId="2" borderId="5" xfId="0" applyNumberFormat="1" applyFont="1" applyFill="1" applyBorder="1" applyAlignment="1" applyProtection="1">
      <alignment horizontal="center" vertical="center"/>
    </xf>
    <xf numFmtId="178" fontId="5" fillId="2" borderId="0"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1" fillId="2" borderId="0" xfId="0" applyFont="1" applyFill="1" applyProtection="1">
      <alignment vertical="center"/>
    </xf>
    <xf numFmtId="0" fontId="9" fillId="2" borderId="0" xfId="0" applyFont="1" applyFill="1" applyBorder="1" applyProtection="1">
      <alignment vertical="center"/>
    </xf>
    <xf numFmtId="0" fontId="8" fillId="2" borderId="0" xfId="0" applyFont="1" applyFill="1" applyProtection="1">
      <alignment vertical="center"/>
    </xf>
    <xf numFmtId="0" fontId="5" fillId="2" borderId="6" xfId="0" applyFont="1" applyFill="1" applyBorder="1" applyAlignment="1" applyProtection="1">
      <alignment horizontal="left" vertical="center"/>
    </xf>
    <xf numFmtId="0" fontId="7" fillId="2" borderId="0" xfId="0" applyFont="1" applyFill="1" applyAlignment="1" applyProtection="1">
      <alignment horizontal="center" vertical="top" wrapText="1"/>
    </xf>
    <xf numFmtId="0" fontId="5" fillId="3" borderId="36" xfId="0" applyNumberFormat="1" applyFont="1" applyFill="1" applyBorder="1" applyAlignment="1" applyProtection="1">
      <alignment horizontal="center" vertical="center"/>
      <protection locked="0"/>
    </xf>
    <xf numFmtId="0" fontId="5" fillId="3" borderId="53" xfId="0" applyNumberFormat="1" applyFont="1" applyFill="1" applyBorder="1" applyAlignment="1" applyProtection="1">
      <alignment vertical="center"/>
      <protection locked="0"/>
    </xf>
    <xf numFmtId="0" fontId="5" fillId="3" borderId="56" xfId="0" applyNumberFormat="1" applyFont="1" applyFill="1" applyBorder="1" applyAlignment="1" applyProtection="1">
      <alignment vertical="center"/>
      <protection locked="0"/>
    </xf>
    <xf numFmtId="177" fontId="0" fillId="2" borderId="0" xfId="0" applyNumberFormat="1" applyFill="1" applyProtection="1">
      <alignment vertical="center"/>
    </xf>
    <xf numFmtId="181" fontId="5" fillId="0" borderId="36" xfId="0" applyNumberFormat="1" applyFont="1" applyFill="1" applyBorder="1" applyAlignment="1" applyProtection="1">
      <alignment vertical="center"/>
    </xf>
    <xf numFmtId="0" fontId="5" fillId="2" borderId="36" xfId="0" applyFont="1" applyFill="1" applyBorder="1" applyProtection="1">
      <alignment vertical="center"/>
    </xf>
    <xf numFmtId="181" fontId="5" fillId="0" borderId="49" xfId="0" applyNumberFormat="1" applyFont="1" applyFill="1" applyBorder="1" applyAlignment="1" applyProtection="1">
      <alignment vertical="center"/>
    </xf>
    <xf numFmtId="0" fontId="0" fillId="0" borderId="0" xfId="0" applyProtection="1">
      <alignment vertical="center"/>
    </xf>
    <xf numFmtId="182" fontId="12" fillId="0" borderId="0" xfId="0" applyNumberFormat="1" applyFont="1" applyFill="1" applyBorder="1" applyAlignment="1" applyProtection="1">
      <alignment vertical="center" shrinkToFit="1"/>
    </xf>
    <xf numFmtId="0" fontId="0" fillId="2" borderId="0" xfId="0" applyFill="1" applyBorder="1" applyAlignment="1" applyProtection="1">
      <alignment vertical="center"/>
    </xf>
    <xf numFmtId="49" fontId="0" fillId="2" borderId="0" xfId="0" applyNumberFormat="1" applyFill="1" applyProtection="1">
      <alignment vertical="center"/>
    </xf>
    <xf numFmtId="0" fontId="5" fillId="3" borderId="36" xfId="0" applyFont="1" applyFill="1" applyBorder="1" applyAlignment="1" applyProtection="1">
      <alignment horizontal="center" vertical="center"/>
      <protection locked="0"/>
    </xf>
    <xf numFmtId="49" fontId="0" fillId="2" borderId="0" xfId="0" applyNumberFormat="1" applyFill="1" applyAlignment="1" applyProtection="1">
      <alignment horizontal="left" vertical="center"/>
    </xf>
    <xf numFmtId="180" fontId="5" fillId="0" borderId="45" xfId="0" applyNumberFormat="1" applyFont="1" applyFill="1" applyBorder="1" applyAlignment="1" applyProtection="1">
      <alignment vertical="center"/>
    </xf>
    <xf numFmtId="0" fontId="8" fillId="2" borderId="0" xfId="0" applyFont="1" applyFill="1" applyAlignment="1" applyProtection="1">
      <alignment vertical="top"/>
    </xf>
    <xf numFmtId="0" fontId="8" fillId="2" borderId="0" xfId="0" applyFont="1" applyFill="1" applyAlignment="1" applyProtection="1">
      <alignment horizontal="left" vertical="center"/>
    </xf>
    <xf numFmtId="0" fontId="0" fillId="2" borderId="0" xfId="0" applyFont="1" applyFill="1" applyProtection="1">
      <alignment vertical="center"/>
    </xf>
    <xf numFmtId="0" fontId="5" fillId="2" borderId="9" xfId="0" applyFont="1" applyFill="1" applyBorder="1" applyAlignment="1" applyProtection="1">
      <alignment horizontal="left" vertical="center"/>
    </xf>
    <xf numFmtId="0" fontId="5" fillId="2" borderId="8" xfId="0" applyFont="1" applyFill="1" applyBorder="1" applyProtection="1">
      <alignment vertical="center"/>
    </xf>
    <xf numFmtId="0" fontId="0" fillId="2" borderId="5" xfId="0" applyFill="1" applyBorder="1" applyProtection="1">
      <alignment vertical="center"/>
    </xf>
    <xf numFmtId="0" fontId="0" fillId="2" borderId="8" xfId="0" applyFill="1" applyBorder="1" applyProtection="1">
      <alignment vertical="center"/>
    </xf>
    <xf numFmtId="0" fontId="5" fillId="2" borderId="5" xfId="0" applyFont="1" applyFill="1" applyBorder="1" applyProtection="1">
      <alignment vertical="center"/>
    </xf>
    <xf numFmtId="0" fontId="0" fillId="2" borderId="0" xfId="0" applyFont="1" applyFill="1" applyBorder="1" applyProtection="1">
      <alignment vertical="center"/>
    </xf>
    <xf numFmtId="0" fontId="0" fillId="2" borderId="14" xfId="0" applyFill="1" applyBorder="1" applyAlignment="1" applyProtection="1">
      <alignment vertical="center"/>
    </xf>
    <xf numFmtId="0" fontId="5" fillId="2" borderId="9" xfId="0" applyFont="1" applyFill="1" applyBorder="1" applyProtection="1">
      <alignment vertical="center"/>
    </xf>
    <xf numFmtId="0" fontId="16" fillId="2" borderId="9" xfId="0" applyFont="1" applyFill="1" applyBorder="1" applyProtection="1">
      <alignment vertical="center"/>
    </xf>
    <xf numFmtId="0" fontId="5" fillId="2" borderId="15" xfId="0" applyFont="1" applyFill="1" applyBorder="1" applyProtection="1">
      <alignment vertical="center"/>
    </xf>
    <xf numFmtId="0" fontId="5" fillId="2" borderId="16" xfId="0" applyFont="1" applyFill="1" applyBorder="1" applyProtection="1">
      <alignment vertical="center"/>
    </xf>
    <xf numFmtId="0" fontId="5" fillId="2" borderId="13" xfId="0" applyFont="1" applyFill="1" applyBorder="1" applyProtection="1">
      <alignment vertical="center"/>
    </xf>
    <xf numFmtId="0" fontId="5" fillId="2" borderId="17" xfId="0" applyFont="1" applyFill="1" applyBorder="1" applyProtection="1">
      <alignment vertic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0" fillId="2" borderId="9" xfId="0" applyFill="1" applyBorder="1" applyAlignment="1" applyProtection="1">
      <alignment vertical="center"/>
    </xf>
    <xf numFmtId="0" fontId="5" fillId="2" borderId="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0" xfId="0" applyFont="1" applyFill="1" applyAlignment="1" applyProtection="1">
      <alignment horizontal="center" vertical="center"/>
    </xf>
    <xf numFmtId="0" fontId="5" fillId="2" borderId="0" xfId="0" applyFont="1" applyFill="1" applyAlignment="1" applyProtection="1">
      <alignment horizontal="left" vertical="center"/>
    </xf>
    <xf numFmtId="0" fontId="0" fillId="2" borderId="0" xfId="0" applyFill="1" applyAlignment="1" applyProtection="1">
      <alignment horizontal="left" vertical="center"/>
    </xf>
    <xf numFmtId="0" fontId="5" fillId="3" borderId="6"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textRotation="255"/>
    </xf>
    <xf numFmtId="0" fontId="5" fillId="2" borderId="9" xfId="0" applyFont="1" applyFill="1" applyBorder="1" applyAlignment="1" applyProtection="1">
      <alignment horizontal="center" vertical="center" textRotation="255"/>
    </xf>
    <xf numFmtId="0" fontId="5" fillId="0" borderId="12" xfId="0" applyFont="1" applyFill="1" applyBorder="1" applyAlignment="1" applyProtection="1">
      <alignment horizontal="left" vertical="center"/>
    </xf>
    <xf numFmtId="0" fontId="30" fillId="2" borderId="0" xfId="0" applyFont="1" applyFill="1" applyProtection="1">
      <alignment vertical="center"/>
    </xf>
    <xf numFmtId="0" fontId="4" fillId="2" borderId="0" xfId="0" applyFont="1" applyFill="1" applyProtection="1">
      <alignment vertical="center"/>
    </xf>
    <xf numFmtId="0" fontId="5" fillId="2" borderId="6" xfId="0" applyFont="1" applyFill="1" applyBorder="1" applyProtection="1">
      <alignment vertical="center"/>
    </xf>
    <xf numFmtId="0" fontId="8" fillId="2" borderId="6" xfId="0" applyFont="1" applyFill="1" applyBorder="1" applyAlignment="1" applyProtection="1">
      <alignment horizontal="right" vertical="center"/>
    </xf>
    <xf numFmtId="0" fontId="8" fillId="2" borderId="1" xfId="0" applyFont="1" applyFill="1" applyBorder="1" applyAlignment="1" applyProtection="1">
      <alignment horizontal="right" vertical="center"/>
    </xf>
    <xf numFmtId="0" fontId="0" fillId="2" borderId="13" xfId="0" applyFill="1" applyBorder="1" applyProtection="1">
      <alignment vertical="center"/>
    </xf>
    <xf numFmtId="0" fontId="0" fillId="2" borderId="17" xfId="0" applyFill="1" applyBorder="1" applyProtection="1">
      <alignment vertical="center"/>
    </xf>
    <xf numFmtId="0" fontId="3" fillId="2" borderId="0" xfId="0" applyFont="1" applyFill="1" applyAlignment="1" applyProtection="1">
      <alignment horizontal="left" vertical="center"/>
    </xf>
    <xf numFmtId="0" fontId="5" fillId="0" borderId="14" xfId="0" applyFont="1" applyFill="1" applyBorder="1" applyProtection="1">
      <alignment vertical="center"/>
    </xf>
    <xf numFmtId="0" fontId="5" fillId="0" borderId="9" xfId="0" applyFont="1" applyFill="1" applyBorder="1" applyProtection="1">
      <alignment vertical="center"/>
    </xf>
    <xf numFmtId="0" fontId="0" fillId="0" borderId="9" xfId="0" applyFill="1" applyBorder="1" applyProtection="1">
      <alignment vertical="center"/>
    </xf>
    <xf numFmtId="0" fontId="0" fillId="0" borderId="15" xfId="0" applyFill="1" applyBorder="1" applyProtection="1">
      <alignment vertical="center"/>
    </xf>
    <xf numFmtId="0" fontId="5" fillId="0" borderId="0" xfId="0" applyNumberFormat="1" applyFont="1" applyFill="1" applyBorder="1" applyAlignment="1" applyProtection="1">
      <alignment vertical="center"/>
    </xf>
    <xf numFmtId="14" fontId="4" fillId="2" borderId="0" xfId="0" applyNumberFormat="1" applyFont="1" applyFill="1" applyBorder="1" applyAlignment="1" applyProtection="1">
      <alignment horizontal="left" vertical="center" wrapText="1"/>
    </xf>
    <xf numFmtId="14" fontId="0" fillId="2" borderId="0" xfId="0" applyNumberFormat="1" applyFont="1" applyFill="1" applyAlignment="1" applyProtection="1">
      <alignment vertical="center"/>
    </xf>
    <xf numFmtId="14" fontId="4" fillId="2" borderId="0" xfId="0" applyNumberFormat="1" applyFont="1" applyFill="1" applyAlignment="1" applyProtection="1">
      <alignment vertical="center"/>
    </xf>
    <xf numFmtId="0" fontId="5" fillId="0" borderId="16" xfId="0" applyFont="1" applyFill="1" applyBorder="1" applyProtection="1">
      <alignment vertical="center"/>
    </xf>
    <xf numFmtId="0" fontId="5" fillId="0" borderId="13" xfId="0" applyFont="1" applyFill="1" applyBorder="1" applyProtection="1">
      <alignment vertical="center"/>
    </xf>
    <xf numFmtId="0" fontId="0" fillId="0" borderId="13" xfId="0" applyFill="1" applyBorder="1" applyProtection="1">
      <alignment vertical="center"/>
    </xf>
    <xf numFmtId="14" fontId="4" fillId="0" borderId="13" xfId="0" applyNumberFormat="1" applyFont="1" applyFill="1" applyBorder="1" applyAlignment="1" applyProtection="1">
      <alignment horizontal="left" vertical="center" wrapText="1"/>
    </xf>
    <xf numFmtId="0" fontId="0" fillId="0" borderId="17" xfId="0" applyFill="1" applyBorder="1" applyProtection="1">
      <alignment vertical="center"/>
    </xf>
    <xf numFmtId="0" fontId="5" fillId="0" borderId="53" xfId="0" applyNumberFormat="1" applyFont="1" applyFill="1" applyBorder="1" applyAlignment="1" applyProtection="1">
      <alignment vertical="center"/>
    </xf>
    <xf numFmtId="0" fontId="5" fillId="0" borderId="52" xfId="0" applyNumberFormat="1" applyFont="1" applyFill="1" applyBorder="1" applyAlignment="1" applyProtection="1">
      <alignment vertical="center"/>
    </xf>
    <xf numFmtId="14" fontId="17" fillId="2" borderId="0" xfId="0" applyNumberFormat="1" applyFont="1" applyFill="1" applyAlignment="1" applyProtection="1">
      <alignment vertical="center"/>
    </xf>
    <xf numFmtId="0" fontId="5" fillId="0" borderId="56" xfId="0" applyNumberFormat="1" applyFont="1" applyFill="1" applyBorder="1" applyAlignment="1" applyProtection="1">
      <alignment vertical="center"/>
    </xf>
    <xf numFmtId="0" fontId="5" fillId="0" borderId="57" xfId="0" applyNumberFormat="1" applyFont="1" applyFill="1" applyBorder="1" applyAlignment="1" applyProtection="1">
      <alignment vertical="center"/>
    </xf>
    <xf numFmtId="57" fontId="4" fillId="2" borderId="0" xfId="0" applyNumberFormat="1" applyFont="1" applyFill="1" applyAlignment="1" applyProtection="1">
      <alignment vertical="center"/>
    </xf>
    <xf numFmtId="0" fontId="5" fillId="2" borderId="14" xfId="0" applyFont="1" applyFill="1" applyBorder="1" applyProtection="1">
      <alignment vertical="center"/>
    </xf>
    <xf numFmtId="0" fontId="8" fillId="2" borderId="0" xfId="0" applyFont="1" applyFill="1" applyBorder="1" applyProtection="1">
      <alignment vertical="center"/>
    </xf>
    <xf numFmtId="0" fontId="5" fillId="2" borderId="1" xfId="0" applyFont="1" applyFill="1" applyBorder="1" applyProtection="1">
      <alignment vertical="center"/>
    </xf>
    <xf numFmtId="0" fontId="5" fillId="2" borderId="14" xfId="0" applyFont="1" applyFill="1" applyBorder="1" applyAlignment="1" applyProtection="1">
      <alignment vertical="center"/>
    </xf>
    <xf numFmtId="0" fontId="5" fillId="2" borderId="9" xfId="0" applyFont="1" applyFill="1" applyBorder="1" applyAlignment="1" applyProtection="1">
      <alignment vertical="center" wrapText="1"/>
    </xf>
    <xf numFmtId="0" fontId="0" fillId="2" borderId="9" xfId="0" applyFont="1" applyFill="1" applyBorder="1" applyAlignment="1" applyProtection="1">
      <alignment vertical="center"/>
    </xf>
    <xf numFmtId="0" fontId="5" fillId="2" borderId="15" xfId="0" applyFont="1" applyFill="1" applyBorder="1" applyAlignment="1" applyProtection="1">
      <alignment vertical="center" wrapText="1"/>
    </xf>
    <xf numFmtId="0" fontId="5" fillId="2" borderId="5"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wrapText="1"/>
    </xf>
    <xf numFmtId="0" fontId="5" fillId="2" borderId="16" xfId="0" applyFont="1" applyFill="1" applyBorder="1" applyAlignment="1" applyProtection="1">
      <alignment vertical="center" wrapText="1"/>
    </xf>
    <xf numFmtId="0" fontId="5" fillId="2" borderId="13" xfId="0" applyFont="1" applyFill="1" applyBorder="1" applyAlignment="1" applyProtection="1">
      <alignment vertical="center" wrapText="1"/>
    </xf>
    <xf numFmtId="0" fontId="5" fillId="2" borderId="13" xfId="0" applyFont="1" applyFill="1" applyBorder="1" applyAlignment="1" applyProtection="1">
      <alignment vertical="center"/>
    </xf>
    <xf numFmtId="0" fontId="5" fillId="2" borderId="17"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5" fillId="2" borderId="0" xfId="0" applyFont="1" applyFill="1" applyBorder="1" applyAlignment="1" applyProtection="1">
      <alignment horizontal="left" vertical="center" wrapText="1"/>
    </xf>
    <xf numFmtId="178" fontId="1" fillId="2" borderId="37" xfId="2" applyNumberFormat="1" applyFill="1" applyBorder="1" applyAlignment="1" applyProtection="1">
      <alignment horizontal="centerContinuous" vertical="center"/>
    </xf>
    <xf numFmtId="0" fontId="1" fillId="2" borderId="20" xfId="2" applyFill="1" applyBorder="1" applyAlignment="1" applyProtection="1">
      <alignment horizontal="centerContinuous" vertical="center" shrinkToFit="1"/>
    </xf>
    <xf numFmtId="0" fontId="1" fillId="2" borderId="38" xfId="2" applyFill="1" applyBorder="1" applyAlignment="1" applyProtection="1">
      <alignment horizontal="centerContinuous" vertical="center"/>
    </xf>
    <xf numFmtId="0" fontId="1" fillId="2" borderId="10" xfId="2" applyFill="1" applyBorder="1" applyProtection="1"/>
    <xf numFmtId="178" fontId="1" fillId="2" borderId="10" xfId="2" applyNumberFormat="1" applyFill="1" applyBorder="1" applyProtection="1"/>
    <xf numFmtId="0" fontId="1" fillId="2" borderId="10" xfId="2" applyFill="1" applyBorder="1" applyAlignment="1" applyProtection="1">
      <alignment shrinkToFit="1"/>
    </xf>
    <xf numFmtId="178" fontId="1" fillId="0" borderId="10" xfId="2" applyNumberFormat="1" applyFill="1" applyBorder="1" applyProtection="1"/>
    <xf numFmtId="0" fontId="1" fillId="0" borderId="10" xfId="2" applyFill="1" applyBorder="1" applyAlignment="1" applyProtection="1">
      <alignment shrinkToFit="1"/>
    </xf>
    <xf numFmtId="0" fontId="1" fillId="0" borderId="10" xfId="2" applyFill="1" applyBorder="1" applyProtection="1"/>
    <xf numFmtId="0" fontId="1" fillId="2" borderId="11" xfId="2" applyFill="1" applyBorder="1" applyAlignment="1" applyProtection="1">
      <alignment shrinkToFit="1"/>
    </xf>
    <xf numFmtId="0" fontId="7" fillId="2" borderId="0" xfId="2" applyFont="1" applyFill="1" applyAlignment="1" applyProtection="1">
      <alignment horizontal="center" vertical="center"/>
    </xf>
    <xf numFmtId="0" fontId="1" fillId="2" borderId="0" xfId="2" applyFill="1" applyProtection="1"/>
    <xf numFmtId="0" fontId="0" fillId="2" borderId="0" xfId="2" applyFont="1" applyFill="1" applyAlignment="1" applyProtection="1">
      <alignment horizontal="center"/>
    </xf>
    <xf numFmtId="178" fontId="1" fillId="2" borderId="72" xfId="2" applyNumberFormat="1" applyFill="1" applyBorder="1" applyAlignment="1" applyProtection="1">
      <alignment horizontal="center" vertical="top" textRotation="255" shrinkToFit="1"/>
    </xf>
    <xf numFmtId="0" fontId="1" fillId="2" borderId="50" xfId="2" applyFont="1" applyFill="1" applyBorder="1" applyAlignment="1" applyProtection="1">
      <alignment horizontal="center" vertical="center" shrinkToFit="1"/>
    </xf>
    <xf numFmtId="0" fontId="1" fillId="2" borderId="13" xfId="2" applyFill="1" applyBorder="1" applyAlignment="1" applyProtection="1">
      <alignment horizontal="center" vertical="top" textRotation="255" shrinkToFit="1"/>
    </xf>
    <xf numFmtId="0" fontId="1" fillId="2" borderId="44" xfId="2" applyFont="1" applyFill="1" applyBorder="1" applyAlignment="1" applyProtection="1">
      <alignment horizontal="center" vertical="center" shrinkToFit="1"/>
    </xf>
    <xf numFmtId="0" fontId="1" fillId="2" borderId="13" xfId="2" applyFont="1" applyFill="1" applyBorder="1" applyAlignment="1" applyProtection="1">
      <alignment horizontal="centerContinuous" vertical="top"/>
    </xf>
    <xf numFmtId="178" fontId="1" fillId="2" borderId="13" xfId="2" applyNumberFormat="1" applyFill="1" applyBorder="1" applyAlignment="1" applyProtection="1">
      <alignment horizontal="centerContinuous" vertical="top"/>
    </xf>
    <xf numFmtId="0" fontId="1" fillId="2" borderId="13" xfId="2" applyFill="1" applyBorder="1" applyAlignment="1" applyProtection="1">
      <alignment horizontal="centerContinuous" vertical="top" shrinkToFit="1"/>
    </xf>
    <xf numFmtId="0" fontId="1" fillId="2" borderId="13" xfId="2" applyFill="1" applyBorder="1" applyAlignment="1" applyProtection="1">
      <alignment horizontal="centerContinuous" vertical="top"/>
    </xf>
    <xf numFmtId="178" fontId="1" fillId="0" borderId="13" xfId="2" applyNumberFormat="1" applyFill="1" applyBorder="1" applyAlignment="1" applyProtection="1">
      <alignment horizontal="centerContinuous" vertical="top"/>
    </xf>
    <xf numFmtId="0" fontId="1" fillId="0" borderId="13" xfId="2" applyFill="1" applyBorder="1" applyAlignment="1" applyProtection="1">
      <alignment horizontal="centerContinuous" vertical="top" shrinkToFit="1"/>
    </xf>
    <xf numFmtId="0" fontId="1" fillId="0" borderId="13" xfId="2" applyFill="1" applyBorder="1" applyAlignment="1" applyProtection="1">
      <alignment horizontal="centerContinuous" vertical="top"/>
    </xf>
    <xf numFmtId="0" fontId="1" fillId="2" borderId="17" xfId="2" applyFill="1" applyBorder="1" applyAlignment="1" applyProtection="1">
      <alignment horizontal="centerContinuous" vertical="top" shrinkToFit="1"/>
    </xf>
    <xf numFmtId="0" fontId="1" fillId="2" borderId="5" xfId="2" applyFill="1" applyBorder="1" applyAlignment="1" applyProtection="1">
      <alignment horizontal="center" vertical="center"/>
    </xf>
    <xf numFmtId="0" fontId="1" fillId="2" borderId="0" xfId="2" applyFill="1" applyBorder="1" applyProtection="1"/>
    <xf numFmtId="0" fontId="1" fillId="2" borderId="0" xfId="2" applyFill="1" applyBorder="1" applyAlignment="1" applyProtection="1">
      <alignment shrinkToFit="1"/>
    </xf>
    <xf numFmtId="0" fontId="1" fillId="2" borderId="8" xfId="2" applyFill="1" applyBorder="1" applyAlignment="1" applyProtection="1">
      <alignment shrinkToFit="1"/>
    </xf>
    <xf numFmtId="0" fontId="1" fillId="2" borderId="0" xfId="2" applyNumberFormat="1" applyFill="1" applyBorder="1" applyAlignment="1" applyProtection="1">
      <alignment horizontal="left" vertical="center"/>
    </xf>
    <xf numFmtId="0" fontId="7" fillId="2" borderId="0" xfId="2" applyFont="1" applyFill="1" applyBorder="1" applyAlignment="1" applyProtection="1">
      <alignment horizontal="center" vertical="center"/>
    </xf>
    <xf numFmtId="178" fontId="1" fillId="2" borderId="0" xfId="2" applyNumberFormat="1" applyFill="1" applyBorder="1" applyProtection="1"/>
    <xf numFmtId="0" fontId="1" fillId="2" borderId="0" xfId="2" applyFill="1" applyAlignment="1" applyProtection="1">
      <alignment horizontal="center"/>
    </xf>
    <xf numFmtId="178" fontId="1" fillId="0" borderId="0" xfId="2" applyNumberFormat="1" applyFill="1" applyProtection="1"/>
    <xf numFmtId="0" fontId="1" fillId="2" borderId="4" xfId="2" applyFont="1" applyFill="1" applyBorder="1" applyAlignment="1" applyProtection="1">
      <alignment shrinkToFit="1"/>
    </xf>
    <xf numFmtId="0" fontId="31" fillId="2" borderId="5" xfId="2" applyNumberFormat="1" applyFont="1" applyFill="1" applyBorder="1" applyAlignment="1" applyProtection="1">
      <alignment vertical="center"/>
    </xf>
    <xf numFmtId="0" fontId="1" fillId="2" borderId="15" xfId="2" applyFill="1" applyBorder="1" applyAlignment="1" applyProtection="1">
      <alignment shrinkToFit="1"/>
    </xf>
    <xf numFmtId="178" fontId="26" fillId="2" borderId="0" xfId="2" applyNumberFormat="1" applyFont="1" applyFill="1" applyBorder="1" applyAlignment="1" applyProtection="1">
      <alignment vertical="center" wrapText="1"/>
    </xf>
    <xf numFmtId="178" fontId="1" fillId="2" borderId="0" xfId="2" applyNumberFormat="1" applyFill="1" applyProtection="1"/>
    <xf numFmtId="0" fontId="1" fillId="2" borderId="17" xfId="2" applyFont="1" applyFill="1" applyBorder="1" applyAlignment="1" applyProtection="1">
      <alignment shrinkToFit="1"/>
    </xf>
    <xf numFmtId="0" fontId="1" fillId="2" borderId="0" xfId="2" applyFill="1" applyAlignment="1" applyProtection="1">
      <alignment shrinkToFit="1"/>
    </xf>
    <xf numFmtId="0" fontId="1" fillId="0" borderId="0" xfId="2" applyFill="1" applyAlignment="1" applyProtection="1">
      <alignment shrinkToFit="1"/>
    </xf>
    <xf numFmtId="0" fontId="1" fillId="0" borderId="0" xfId="2" applyFill="1" applyProtection="1"/>
    <xf numFmtId="0" fontId="41" fillId="2" borderId="0" xfId="0" applyFont="1" applyFill="1" applyBorder="1" applyProtection="1">
      <alignment vertical="center"/>
    </xf>
    <xf numFmtId="0" fontId="7" fillId="2" borderId="5" xfId="0" applyFont="1" applyFill="1" applyBorder="1" applyProtection="1">
      <alignment vertical="center"/>
    </xf>
    <xf numFmtId="0" fontId="7" fillId="2" borderId="0" xfId="0" applyFont="1" applyFill="1" applyBorder="1" applyProtection="1">
      <alignment vertical="center"/>
    </xf>
    <xf numFmtId="0" fontId="7" fillId="2" borderId="8" xfId="0" applyFont="1" applyFill="1" applyBorder="1" applyProtection="1">
      <alignment vertical="center"/>
    </xf>
    <xf numFmtId="0" fontId="36" fillId="0" borderId="0" xfId="0" applyFont="1" applyFill="1" applyAlignment="1" applyProtection="1">
      <alignment horizontal="center" vertical="center"/>
    </xf>
    <xf numFmtId="0" fontId="36" fillId="0" borderId="0" xfId="0" applyFont="1" applyFill="1" applyProtection="1">
      <alignment vertical="center"/>
    </xf>
    <xf numFmtId="0" fontId="39" fillId="0" borderId="0" xfId="0" applyFont="1" applyFill="1" applyAlignment="1" applyProtection="1">
      <alignment horizontal="left" vertical="center"/>
    </xf>
    <xf numFmtId="0" fontId="40" fillId="0" borderId="0" xfId="0" applyFont="1" applyFill="1" applyProtection="1">
      <alignment vertical="center"/>
    </xf>
    <xf numFmtId="0" fontId="38" fillId="0" borderId="0" xfId="2" applyFont="1" applyFill="1" applyAlignment="1" applyProtection="1">
      <alignment vertical="center"/>
    </xf>
    <xf numFmtId="0" fontId="38" fillId="0" borderId="73" xfId="2" applyFont="1" applyFill="1" applyBorder="1" applyAlignment="1" applyProtection="1">
      <alignment vertical="center"/>
    </xf>
    <xf numFmtId="0" fontId="38" fillId="0" borderId="74" xfId="2" applyFont="1" applyFill="1" applyBorder="1" applyAlignment="1" applyProtection="1">
      <alignment vertical="center"/>
    </xf>
    <xf numFmtId="0" fontId="38" fillId="0" borderId="76" xfId="2" applyFont="1" applyFill="1" applyBorder="1" applyAlignment="1" applyProtection="1">
      <alignment vertical="center"/>
    </xf>
    <xf numFmtId="0" fontId="38" fillId="0" borderId="0" xfId="2" applyFont="1" applyFill="1" applyBorder="1" applyAlignment="1" applyProtection="1">
      <alignment vertical="center"/>
    </xf>
    <xf numFmtId="0" fontId="38" fillId="0" borderId="78" xfId="2" applyFont="1" applyFill="1" applyBorder="1" applyAlignment="1" applyProtection="1">
      <alignment vertical="center"/>
    </xf>
    <xf numFmtId="0" fontId="38" fillId="0" borderId="79" xfId="2" applyFont="1" applyFill="1" applyBorder="1" applyAlignment="1" applyProtection="1">
      <alignment vertical="center"/>
    </xf>
    <xf numFmtId="0" fontId="38" fillId="0" borderId="0" xfId="2" applyFont="1" applyFill="1" applyAlignment="1" applyProtection="1">
      <alignment vertical="center" shrinkToFit="1"/>
    </xf>
    <xf numFmtId="0" fontId="5" fillId="0" borderId="36" xfId="0" applyFont="1" applyFill="1" applyBorder="1" applyAlignment="1" applyProtection="1">
      <alignment horizontal="left" vertical="center"/>
    </xf>
    <xf numFmtId="0" fontId="0" fillId="0" borderId="0" xfId="0" applyFill="1" applyProtection="1">
      <alignment vertical="center"/>
    </xf>
    <xf numFmtId="0" fontId="3" fillId="2" borderId="0" xfId="3" applyFont="1" applyFill="1">
      <alignment vertical="center"/>
    </xf>
    <xf numFmtId="0" fontId="5" fillId="2" borderId="0" xfId="3" applyFont="1" applyFill="1" applyProtection="1">
      <alignment vertical="center"/>
    </xf>
    <xf numFmtId="0" fontId="5" fillId="2" borderId="0" xfId="3" applyFont="1" applyFill="1">
      <alignment vertical="center"/>
    </xf>
    <xf numFmtId="0" fontId="5" fillId="2" borderId="0" xfId="3" applyFont="1" applyFill="1" applyProtection="1">
      <alignment vertical="center"/>
      <protection locked="0"/>
    </xf>
    <xf numFmtId="0" fontId="1" fillId="2" borderId="0" xfId="3" applyFill="1">
      <alignment vertical="center"/>
    </xf>
    <xf numFmtId="0" fontId="3" fillId="2" borderId="10" xfId="3" applyFont="1" applyFill="1" applyBorder="1" applyAlignment="1">
      <alignment horizontal="left" vertical="center"/>
    </xf>
    <xf numFmtId="0" fontId="3" fillId="2" borderId="11" xfId="3" applyFont="1" applyFill="1" applyBorder="1" applyAlignment="1">
      <alignment horizontal="left" vertical="center"/>
    </xf>
    <xf numFmtId="0" fontId="3" fillId="2" borderId="12" xfId="3" applyFont="1" applyFill="1" applyBorder="1" applyAlignment="1">
      <alignment horizontal="left" vertical="center"/>
    </xf>
    <xf numFmtId="0" fontId="3" fillId="2" borderId="4" xfId="3" applyFont="1" applyFill="1" applyBorder="1" applyAlignment="1">
      <alignment horizontal="left" vertical="center"/>
    </xf>
    <xf numFmtId="0" fontId="38" fillId="0" borderId="75" xfId="2" applyFont="1" applyFill="1" applyBorder="1" applyAlignment="1" applyProtection="1">
      <alignment vertical="center"/>
    </xf>
    <xf numFmtId="0" fontId="38" fillId="0" borderId="77" xfId="2" applyFont="1" applyFill="1" applyBorder="1" applyAlignment="1" applyProtection="1">
      <alignment vertical="center"/>
    </xf>
    <xf numFmtId="0" fontId="38" fillId="0" borderId="80" xfId="2" applyFont="1" applyFill="1" applyBorder="1" applyAlignment="1" applyProtection="1">
      <alignment vertical="center"/>
    </xf>
    <xf numFmtId="0" fontId="0" fillId="2" borderId="13" xfId="2" applyFont="1" applyFill="1" applyBorder="1" applyAlignment="1" applyProtection="1">
      <alignment horizontal="centerContinuous" vertical="top"/>
    </xf>
    <xf numFmtId="0" fontId="7" fillId="2" borderId="34" xfId="2" applyFont="1" applyFill="1" applyBorder="1" applyAlignment="1" applyProtection="1">
      <alignment vertical="top" shrinkToFit="1"/>
    </xf>
    <xf numFmtId="0" fontId="0" fillId="2" borderId="13" xfId="2" applyFont="1" applyFill="1" applyBorder="1" applyAlignment="1" applyProtection="1">
      <alignment shrinkToFit="1"/>
    </xf>
    <xf numFmtId="0" fontId="5" fillId="2" borderId="0" xfId="0" applyFont="1" applyFill="1" applyProtection="1">
      <alignment vertical="center"/>
    </xf>
    <xf numFmtId="0" fontId="0" fillId="0" borderId="0" xfId="0" applyBorder="1">
      <alignment vertical="center"/>
    </xf>
    <xf numFmtId="0" fontId="0" fillId="2" borderId="0" xfId="0" applyFill="1" applyProtection="1">
      <alignment vertical="center"/>
    </xf>
    <xf numFmtId="49" fontId="0" fillId="2" borderId="0" xfId="0" applyNumberFormat="1" applyFill="1" applyProtection="1">
      <alignment vertical="center"/>
    </xf>
    <xf numFmtId="0" fontId="1" fillId="2" borderId="22" xfId="2" applyFont="1" applyFill="1" applyBorder="1" applyAlignment="1" applyProtection="1">
      <alignment horizontal="center"/>
      <protection locked="0"/>
    </xf>
    <xf numFmtId="0" fontId="1" fillId="2" borderId="0" xfId="2" applyFont="1" applyFill="1" applyBorder="1" applyAlignment="1" applyProtection="1">
      <alignment horizontal="center"/>
      <protection locked="0"/>
    </xf>
    <xf numFmtId="0" fontId="4" fillId="2" borderId="22" xfId="2" applyFont="1" applyFill="1" applyBorder="1" applyAlignment="1" applyProtection="1">
      <alignment horizontal="center"/>
      <protection locked="0"/>
    </xf>
    <xf numFmtId="0" fontId="1" fillId="2" borderId="27" xfId="2" applyFont="1" applyFill="1" applyBorder="1" applyAlignment="1" applyProtection="1">
      <alignment horizontal="center"/>
      <protection locked="0"/>
    </xf>
    <xf numFmtId="0" fontId="1" fillId="2" borderId="10" xfId="2" applyFont="1" applyFill="1" applyBorder="1" applyAlignment="1" applyProtection="1">
      <alignment horizontal="center"/>
      <protection locked="0"/>
    </xf>
    <xf numFmtId="0" fontId="1" fillId="2" borderId="28" xfId="2" applyFont="1" applyFill="1" applyBorder="1" applyAlignment="1" applyProtection="1">
      <alignment horizontal="center"/>
      <protection locked="0"/>
    </xf>
    <xf numFmtId="0" fontId="1" fillId="2" borderId="9" xfId="2" applyFont="1" applyFill="1" applyBorder="1" applyAlignment="1" applyProtection="1">
      <alignment horizontal="center"/>
      <protection locked="0"/>
    </xf>
    <xf numFmtId="0" fontId="1" fillId="2" borderId="24" xfId="2" applyFont="1" applyFill="1" applyBorder="1" applyAlignment="1" applyProtection="1">
      <alignment horizontal="center"/>
      <protection locked="0"/>
    </xf>
    <xf numFmtId="178" fontId="1" fillId="2" borderId="37" xfId="2" applyNumberFormat="1" applyFill="1" applyBorder="1" applyAlignment="1" applyProtection="1">
      <alignment horizontal="centerContinuous" vertical="center"/>
    </xf>
    <xf numFmtId="0" fontId="1" fillId="2" borderId="20" xfId="2" applyFill="1" applyBorder="1" applyAlignment="1" applyProtection="1">
      <alignment horizontal="centerContinuous" vertical="center" shrinkToFit="1"/>
    </xf>
    <xf numFmtId="0" fontId="1" fillId="2" borderId="38" xfId="2" applyFill="1" applyBorder="1" applyAlignment="1" applyProtection="1">
      <alignment horizontal="centerContinuous" vertical="center"/>
    </xf>
    <xf numFmtId="0" fontId="1" fillId="2" borderId="10" xfId="2" applyFill="1" applyBorder="1" applyProtection="1"/>
    <xf numFmtId="178" fontId="1" fillId="2" borderId="10" xfId="2" applyNumberFormat="1" applyFill="1" applyBorder="1" applyProtection="1"/>
    <xf numFmtId="0" fontId="1" fillId="2" borderId="10" xfId="2" applyFill="1" applyBorder="1" applyAlignment="1" applyProtection="1">
      <alignment shrinkToFit="1"/>
    </xf>
    <xf numFmtId="178" fontId="1" fillId="0" borderId="10" xfId="2" applyNumberFormat="1" applyFill="1" applyBorder="1" applyProtection="1"/>
    <xf numFmtId="0" fontId="1" fillId="0" borderId="10" xfId="2" applyFill="1" applyBorder="1" applyAlignment="1" applyProtection="1">
      <alignment shrinkToFit="1"/>
    </xf>
    <xf numFmtId="0" fontId="1" fillId="0" borderId="10" xfId="2" applyFill="1" applyBorder="1" applyProtection="1"/>
    <xf numFmtId="0" fontId="1" fillId="2" borderId="11" xfId="2" applyFill="1" applyBorder="1" applyAlignment="1" applyProtection="1">
      <alignment shrinkToFit="1"/>
    </xf>
    <xf numFmtId="0" fontId="7" fillId="2" borderId="0" xfId="2" applyFont="1" applyFill="1" applyAlignment="1" applyProtection="1">
      <alignment horizontal="center" vertical="center"/>
    </xf>
    <xf numFmtId="0" fontId="1" fillId="2" borderId="0" xfId="2" applyFill="1" applyProtection="1"/>
    <xf numFmtId="0" fontId="0" fillId="2" borderId="0" xfId="2" applyFont="1" applyFill="1" applyAlignment="1" applyProtection="1">
      <alignment horizontal="center"/>
    </xf>
    <xf numFmtId="178" fontId="1" fillId="2" borderId="72" xfId="2" applyNumberFormat="1" applyFill="1" applyBorder="1" applyAlignment="1" applyProtection="1">
      <alignment horizontal="center" vertical="top" textRotation="255" shrinkToFit="1"/>
    </xf>
    <xf numFmtId="0" fontId="1" fillId="2" borderId="50" xfId="2" applyFont="1" applyFill="1" applyBorder="1" applyAlignment="1" applyProtection="1">
      <alignment horizontal="center" vertical="center" shrinkToFit="1"/>
    </xf>
    <xf numFmtId="0" fontId="1" fillId="2" borderId="13" xfId="2" applyFill="1" applyBorder="1" applyAlignment="1" applyProtection="1">
      <alignment horizontal="center" vertical="top" textRotation="255" shrinkToFit="1"/>
    </xf>
    <xf numFmtId="0" fontId="1" fillId="2" borderId="44" xfId="2" applyFont="1" applyFill="1" applyBorder="1" applyAlignment="1" applyProtection="1">
      <alignment horizontal="center" vertical="center" shrinkToFit="1"/>
    </xf>
    <xf numFmtId="178" fontId="1" fillId="2" borderId="13" xfId="2" applyNumberFormat="1" applyFill="1" applyBorder="1" applyAlignment="1" applyProtection="1">
      <alignment horizontal="centerContinuous" vertical="top"/>
    </xf>
    <xf numFmtId="0" fontId="1" fillId="2" borderId="13" xfId="2" applyFill="1" applyBorder="1" applyAlignment="1" applyProtection="1">
      <alignment horizontal="centerContinuous" vertical="top" shrinkToFit="1"/>
    </xf>
    <xf numFmtId="0" fontId="1" fillId="2" borderId="13" xfId="2" applyFill="1" applyBorder="1" applyAlignment="1" applyProtection="1">
      <alignment horizontal="centerContinuous" vertical="top"/>
    </xf>
    <xf numFmtId="178" fontId="1" fillId="0" borderId="13" xfId="2" applyNumberFormat="1" applyFill="1" applyBorder="1" applyAlignment="1" applyProtection="1">
      <alignment horizontal="centerContinuous" vertical="top"/>
    </xf>
    <xf numFmtId="0" fontId="1" fillId="0" borderId="13" xfId="2" applyFill="1" applyBorder="1" applyAlignment="1" applyProtection="1">
      <alignment horizontal="centerContinuous" vertical="top" shrinkToFit="1"/>
    </xf>
    <xf numFmtId="0" fontId="1" fillId="0" borderId="13" xfId="2" applyFill="1" applyBorder="1" applyAlignment="1" applyProtection="1">
      <alignment horizontal="centerContinuous" vertical="top"/>
    </xf>
    <xf numFmtId="0" fontId="1" fillId="2" borderId="17" xfId="2" applyFill="1" applyBorder="1" applyAlignment="1" applyProtection="1">
      <alignment horizontal="centerContinuous" vertical="top" shrinkToFit="1"/>
    </xf>
    <xf numFmtId="0" fontId="1" fillId="2" borderId="5" xfId="2" applyFill="1" applyBorder="1" applyAlignment="1" applyProtection="1">
      <alignment horizontal="center" vertical="center"/>
    </xf>
    <xf numFmtId="0" fontId="1" fillId="2" borderId="0" xfId="2" applyFill="1" applyBorder="1" applyProtection="1"/>
    <xf numFmtId="178" fontId="0" fillId="2" borderId="41" xfId="2" applyNumberFormat="1" applyFont="1" applyFill="1" applyBorder="1" applyAlignment="1" applyProtection="1">
      <alignment vertical="top"/>
    </xf>
    <xf numFmtId="178" fontId="0" fillId="2" borderId="34" xfId="2" applyNumberFormat="1" applyFont="1" applyFill="1" applyBorder="1" applyProtection="1"/>
    <xf numFmtId="0" fontId="7" fillId="2" borderId="34" xfId="2" applyFont="1" applyFill="1" applyBorder="1" applyAlignment="1" applyProtection="1">
      <alignment shrinkToFit="1"/>
    </xf>
    <xf numFmtId="178" fontId="0" fillId="2" borderId="0" xfId="2" applyNumberFormat="1" applyFont="1" applyFill="1" applyBorder="1" applyProtection="1"/>
    <xf numFmtId="0" fontId="1" fillId="2" borderId="0" xfId="2" applyFill="1" applyBorder="1" applyAlignment="1" applyProtection="1">
      <alignment shrinkToFit="1"/>
    </xf>
    <xf numFmtId="178" fontId="1" fillId="0" borderId="0" xfId="2" applyNumberFormat="1" applyFill="1" applyBorder="1" applyProtection="1"/>
    <xf numFmtId="0" fontId="1" fillId="0" borderId="0" xfId="2" applyFill="1" applyBorder="1" applyAlignment="1" applyProtection="1">
      <alignment shrinkToFit="1"/>
    </xf>
    <xf numFmtId="0" fontId="1" fillId="0" borderId="0" xfId="2" applyFill="1" applyBorder="1" applyProtection="1"/>
    <xf numFmtId="0" fontId="1" fillId="2" borderId="8" xfId="2" applyFill="1" applyBorder="1" applyAlignment="1" applyProtection="1">
      <alignment shrinkToFit="1"/>
    </xf>
    <xf numFmtId="0" fontId="1" fillId="2" borderId="0" xfId="2" applyNumberFormat="1" applyFill="1" applyBorder="1" applyAlignment="1" applyProtection="1">
      <alignment horizontal="left" vertical="center"/>
    </xf>
    <xf numFmtId="0" fontId="7" fillId="2" borderId="0" xfId="2" applyFont="1" applyFill="1" applyBorder="1" applyAlignment="1" applyProtection="1">
      <alignment horizontal="center" vertical="center"/>
    </xf>
    <xf numFmtId="178" fontId="1" fillId="2" borderId="41" xfId="2" applyNumberFormat="1" applyFill="1" applyBorder="1" applyAlignment="1" applyProtection="1">
      <alignment vertical="top"/>
    </xf>
    <xf numFmtId="178" fontId="1" fillId="2" borderId="34" xfId="2" applyNumberFormat="1" applyFill="1" applyBorder="1" applyProtection="1"/>
    <xf numFmtId="178" fontId="1" fillId="2" borderId="0" xfId="2" applyNumberFormat="1" applyFill="1" applyBorder="1" applyProtection="1"/>
    <xf numFmtId="0" fontId="1" fillId="2" borderId="0" xfId="2" applyFont="1" applyFill="1" applyBorder="1" applyAlignment="1" applyProtection="1">
      <alignment horizontal="center"/>
    </xf>
    <xf numFmtId="0" fontId="1" fillId="2" borderId="0" xfId="2" applyFill="1" applyAlignment="1" applyProtection="1">
      <alignment horizontal="center"/>
    </xf>
    <xf numFmtId="178" fontId="1" fillId="2" borderId="41" xfId="2" applyNumberFormat="1" applyFill="1" applyBorder="1" applyProtection="1"/>
    <xf numFmtId="0" fontId="1" fillId="2" borderId="51" xfId="2" applyFill="1" applyBorder="1" applyAlignment="1" applyProtection="1">
      <alignment shrinkToFit="1"/>
    </xf>
    <xf numFmtId="0" fontId="1" fillId="2" borderId="34" xfId="2" applyFill="1" applyBorder="1" applyAlignment="1" applyProtection="1">
      <alignment shrinkToFit="1"/>
    </xf>
    <xf numFmtId="178" fontId="25" fillId="0" borderId="0" xfId="2" applyNumberFormat="1" applyFont="1" applyFill="1" applyBorder="1" applyProtection="1"/>
    <xf numFmtId="178" fontId="1" fillId="0" borderId="0" xfId="2" applyNumberFormat="1" applyFill="1" applyProtection="1"/>
    <xf numFmtId="0" fontId="4" fillId="0" borderId="0" xfId="2" applyFont="1" applyFill="1" applyBorder="1" applyProtection="1"/>
    <xf numFmtId="178" fontId="1" fillId="2" borderId="35" xfId="2" applyNumberFormat="1" applyFill="1" applyBorder="1" applyProtection="1"/>
    <xf numFmtId="0" fontId="1" fillId="2" borderId="35" xfId="2" applyFill="1" applyBorder="1" applyAlignment="1" applyProtection="1">
      <alignment shrinkToFit="1"/>
    </xf>
    <xf numFmtId="178" fontId="1" fillId="2" borderId="12" xfId="2" applyNumberFormat="1" applyFill="1" applyBorder="1" applyProtection="1"/>
    <xf numFmtId="0" fontId="1" fillId="2" borderId="12" xfId="2" applyFill="1" applyBorder="1" applyProtection="1"/>
    <xf numFmtId="0" fontId="1" fillId="2" borderId="12" xfId="2" applyFont="1" applyFill="1" applyBorder="1" applyAlignment="1" applyProtection="1">
      <alignment horizontal="right"/>
    </xf>
    <xf numFmtId="0" fontId="1" fillId="2" borderId="4" xfId="2" applyFont="1" applyFill="1" applyBorder="1" applyAlignment="1" applyProtection="1">
      <alignment shrinkToFit="1"/>
    </xf>
    <xf numFmtId="0" fontId="31" fillId="2" borderId="5" xfId="2" applyNumberFormat="1" applyFont="1" applyFill="1" applyBorder="1" applyAlignment="1" applyProtection="1">
      <alignment vertical="center"/>
    </xf>
    <xf numFmtId="0" fontId="7" fillId="2" borderId="51" xfId="2" applyFont="1" applyFill="1" applyBorder="1" applyAlignment="1" applyProtection="1">
      <alignment shrinkToFit="1"/>
    </xf>
    <xf numFmtId="178" fontId="1" fillId="2" borderId="40" xfId="2" applyNumberFormat="1" applyFill="1" applyBorder="1" applyProtection="1"/>
    <xf numFmtId="0" fontId="7" fillId="2" borderId="40" xfId="2" applyFont="1" applyFill="1" applyBorder="1" applyAlignment="1" applyProtection="1">
      <alignment shrinkToFit="1"/>
    </xf>
    <xf numFmtId="178" fontId="1" fillId="2" borderId="9" xfId="2" applyNumberFormat="1" applyFill="1" applyBorder="1" applyProtection="1"/>
    <xf numFmtId="0" fontId="0" fillId="2" borderId="9" xfId="2" applyFont="1" applyFill="1" applyBorder="1" applyAlignment="1" applyProtection="1">
      <alignment shrinkToFit="1"/>
    </xf>
    <xf numFmtId="0" fontId="1" fillId="2" borderId="9" xfId="2" applyFill="1" applyBorder="1" applyProtection="1"/>
    <xf numFmtId="178" fontId="1" fillId="0" borderId="9" xfId="2" applyNumberFormat="1" applyFill="1" applyBorder="1" applyProtection="1"/>
    <xf numFmtId="0" fontId="1" fillId="0" borderId="9" xfId="2" applyFill="1" applyBorder="1" applyAlignment="1" applyProtection="1">
      <alignment shrinkToFit="1"/>
    </xf>
    <xf numFmtId="0" fontId="1" fillId="0" borderId="9" xfId="2" applyFill="1" applyBorder="1" applyProtection="1"/>
    <xf numFmtId="0" fontId="1" fillId="0" borderId="9" xfId="2" applyFont="1" applyFill="1" applyBorder="1" applyAlignment="1" applyProtection="1">
      <alignment shrinkToFit="1"/>
    </xf>
    <xf numFmtId="0" fontId="1" fillId="2" borderId="15" xfId="2" applyFill="1" applyBorder="1" applyAlignment="1" applyProtection="1">
      <alignment shrinkToFit="1"/>
    </xf>
    <xf numFmtId="0" fontId="0" fillId="2" borderId="0" xfId="2" applyFont="1" applyFill="1" applyBorder="1" applyAlignment="1" applyProtection="1">
      <alignment shrinkToFit="1"/>
    </xf>
    <xf numFmtId="0" fontId="4" fillId="2" borderId="0" xfId="2" applyFont="1" applyFill="1" applyBorder="1" applyProtection="1"/>
    <xf numFmtId="178" fontId="26" fillId="2" borderId="0" xfId="2" applyNumberFormat="1" applyFont="1" applyFill="1" applyBorder="1" applyAlignment="1" applyProtection="1">
      <alignment vertical="center" wrapText="1"/>
    </xf>
    <xf numFmtId="178" fontId="1" fillId="2" borderId="0" xfId="2" applyNumberFormat="1" applyFill="1" applyProtection="1"/>
    <xf numFmtId="0" fontId="0" fillId="0" borderId="0" xfId="2" applyFont="1" applyFill="1" applyBorder="1" applyAlignment="1" applyProtection="1">
      <alignment shrinkToFit="1"/>
    </xf>
    <xf numFmtId="0" fontId="1" fillId="0" borderId="0" xfId="2" applyFont="1" applyFill="1" applyBorder="1" applyAlignment="1" applyProtection="1">
      <alignment shrinkToFit="1"/>
    </xf>
    <xf numFmtId="0" fontId="0" fillId="2" borderId="12" xfId="2" applyFont="1" applyFill="1" applyBorder="1" applyAlignment="1" applyProtection="1">
      <alignment shrinkToFit="1"/>
    </xf>
    <xf numFmtId="0" fontId="4" fillId="2" borderId="22" xfId="2" applyFont="1" applyFill="1" applyBorder="1" applyProtection="1"/>
    <xf numFmtId="178" fontId="1" fillId="2" borderId="43" xfId="2" applyNumberFormat="1" applyFill="1" applyBorder="1" applyProtection="1"/>
    <xf numFmtId="0" fontId="1" fillId="2" borderId="25" xfId="2" applyFill="1" applyBorder="1" applyAlignment="1" applyProtection="1">
      <alignment shrinkToFit="1"/>
    </xf>
    <xf numFmtId="178" fontId="1" fillId="2" borderId="44" xfId="2" applyNumberFormat="1" applyFill="1" applyBorder="1" applyProtection="1"/>
    <xf numFmtId="0" fontId="1" fillId="2" borderId="44" xfId="2" applyFill="1" applyBorder="1" applyAlignment="1" applyProtection="1">
      <alignment shrinkToFit="1"/>
    </xf>
    <xf numFmtId="178" fontId="1" fillId="2" borderId="13" xfId="2" applyNumberFormat="1" applyFill="1" applyBorder="1" applyProtection="1"/>
    <xf numFmtId="0" fontId="1" fillId="2" borderId="13" xfId="2" applyFill="1" applyBorder="1" applyProtection="1"/>
    <xf numFmtId="0" fontId="1" fillId="2" borderId="13" xfId="2" applyFont="1" applyFill="1" applyBorder="1" applyAlignment="1" applyProtection="1">
      <alignment horizontal="right"/>
    </xf>
    <xf numFmtId="0" fontId="1" fillId="2" borderId="17" xfId="2" applyFont="1" applyFill="1" applyBorder="1" applyAlignment="1" applyProtection="1">
      <alignment shrinkToFit="1"/>
    </xf>
    <xf numFmtId="0" fontId="0" fillId="0" borderId="9" xfId="2" applyFont="1" applyFill="1" applyBorder="1" applyAlignment="1" applyProtection="1">
      <alignment shrinkToFit="1"/>
    </xf>
    <xf numFmtId="0" fontId="1" fillId="2" borderId="13" xfId="2" applyFont="1" applyFill="1" applyBorder="1" applyAlignment="1" applyProtection="1">
      <alignment shrinkToFit="1"/>
    </xf>
    <xf numFmtId="0" fontId="1" fillId="2" borderId="0" xfId="2" applyFill="1" applyAlignment="1" applyProtection="1">
      <alignment shrinkToFit="1"/>
    </xf>
    <xf numFmtId="0" fontId="1" fillId="0" borderId="0" xfId="2" applyFill="1" applyAlignment="1" applyProtection="1">
      <alignment shrinkToFit="1"/>
    </xf>
    <xf numFmtId="0" fontId="1" fillId="0" borderId="0" xfId="2" applyFill="1" applyProtection="1"/>
    <xf numFmtId="0" fontId="36" fillId="0" borderId="0" xfId="0" applyFont="1" applyFill="1" applyAlignment="1" applyProtection="1">
      <alignment horizontal="center" vertical="center"/>
    </xf>
    <xf numFmtId="0" fontId="38" fillId="0" borderId="0" xfId="2" applyFont="1" applyFill="1" applyAlignment="1" applyProtection="1">
      <alignment vertical="center"/>
    </xf>
    <xf numFmtId="0" fontId="38" fillId="0" borderId="73" xfId="2" applyFont="1" applyFill="1" applyBorder="1" applyAlignment="1" applyProtection="1">
      <alignment vertical="center"/>
    </xf>
    <xf numFmtId="0" fontId="38" fillId="0" borderId="74" xfId="2" applyFont="1" applyFill="1" applyBorder="1" applyAlignment="1" applyProtection="1">
      <alignment vertical="center"/>
    </xf>
    <xf numFmtId="0" fontId="38" fillId="0" borderId="76" xfId="2" applyFont="1" applyFill="1" applyBorder="1" applyAlignment="1" applyProtection="1">
      <alignment vertical="center"/>
    </xf>
    <xf numFmtId="0" fontId="38" fillId="0" borderId="0" xfId="2" applyFont="1" applyFill="1" applyBorder="1" applyAlignment="1" applyProtection="1">
      <alignment vertical="center"/>
    </xf>
    <xf numFmtId="0" fontId="38" fillId="0" borderId="78" xfId="2" applyFont="1" applyFill="1" applyBorder="1" applyAlignment="1" applyProtection="1">
      <alignment vertical="center"/>
    </xf>
    <xf numFmtId="0" fontId="38" fillId="0" borderId="79" xfId="2" applyFont="1" applyFill="1" applyBorder="1" applyAlignment="1" applyProtection="1">
      <alignment vertical="center"/>
    </xf>
    <xf numFmtId="0" fontId="38" fillId="0" borderId="0" xfId="2" applyFont="1" applyFill="1" applyAlignment="1" applyProtection="1">
      <alignment vertical="center" shrinkToFit="1"/>
    </xf>
    <xf numFmtId="0" fontId="38" fillId="0" borderId="75" xfId="2" applyFont="1" applyFill="1" applyBorder="1" applyAlignment="1" applyProtection="1">
      <alignment vertical="center"/>
    </xf>
    <xf numFmtId="0" fontId="38" fillId="0" borderId="77" xfId="2" applyFont="1" applyFill="1" applyBorder="1" applyAlignment="1" applyProtection="1">
      <alignment vertical="center"/>
    </xf>
    <xf numFmtId="0" fontId="38" fillId="0" borderId="80" xfId="2" applyFont="1" applyFill="1" applyBorder="1" applyAlignment="1" applyProtection="1">
      <alignment vertical="center"/>
    </xf>
    <xf numFmtId="0" fontId="1" fillId="2" borderId="5" xfId="2" applyNumberFormat="1" applyFill="1" applyBorder="1" applyAlignment="1" applyProtection="1">
      <alignment horizontal="center" vertical="center"/>
    </xf>
    <xf numFmtId="0" fontId="7" fillId="2" borderId="34" xfId="2" applyFont="1" applyFill="1" applyBorder="1" applyAlignment="1" applyProtection="1">
      <alignment vertical="top" wrapText="1" shrinkToFit="1"/>
    </xf>
    <xf numFmtId="0" fontId="5" fillId="0" borderId="7" xfId="3" applyFont="1" applyFill="1" applyBorder="1" applyAlignment="1" applyProtection="1">
      <alignment vertical="center"/>
    </xf>
    <xf numFmtId="0" fontId="5" fillId="0" borderId="6" xfId="3" applyFont="1" applyFill="1" applyBorder="1" applyAlignment="1" applyProtection="1">
      <alignment vertical="center"/>
    </xf>
    <xf numFmtId="0" fontId="5" fillId="0" borderId="19" xfId="3" applyFont="1" applyFill="1" applyBorder="1" applyAlignment="1" applyProtection="1">
      <alignment vertical="center"/>
    </xf>
    <xf numFmtId="0" fontId="8" fillId="2" borderId="0" xfId="0" applyFont="1" applyFill="1">
      <alignment vertical="center"/>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3" fillId="2" borderId="32"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11" xfId="0" applyFont="1" applyFill="1" applyBorder="1" applyAlignment="1" applyProtection="1">
      <alignment vertical="center"/>
    </xf>
    <xf numFmtId="0" fontId="5" fillId="0" borderId="47" xfId="3" applyFont="1" applyFill="1" applyBorder="1" applyAlignment="1" applyProtection="1">
      <alignment vertical="center"/>
    </xf>
    <xf numFmtId="0" fontId="5" fillId="0" borderId="31" xfId="3" applyFont="1" applyFill="1" applyBorder="1" applyAlignment="1" applyProtection="1">
      <alignment vertical="center"/>
    </xf>
    <xf numFmtId="0" fontId="5" fillId="0" borderId="26" xfId="3" applyFont="1" applyFill="1" applyBorder="1" applyAlignment="1" applyProtection="1">
      <alignment vertical="center"/>
    </xf>
    <xf numFmtId="0" fontId="1" fillId="0" borderId="6" xfId="3" applyFill="1" applyBorder="1" applyAlignment="1" applyProtection="1">
      <alignment vertical="center"/>
    </xf>
    <xf numFmtId="0" fontId="1" fillId="0" borderId="19" xfId="3" applyFill="1" applyBorder="1" applyAlignment="1" applyProtection="1">
      <alignment vertical="center"/>
    </xf>
    <xf numFmtId="0" fontId="1" fillId="2" borderId="5" xfId="2" applyNumberFormat="1" applyFill="1" applyBorder="1" applyAlignment="1" applyProtection="1">
      <alignment horizontal="center" vertical="center"/>
    </xf>
    <xf numFmtId="0" fontId="7" fillId="2" borderId="34" xfId="2" applyFont="1" applyFill="1" applyBorder="1" applyAlignment="1" applyProtection="1">
      <alignment vertical="top" wrapText="1" shrinkToFit="1"/>
    </xf>
    <xf numFmtId="178" fontId="26" fillId="2" borderId="0" xfId="2" applyNumberFormat="1" applyFont="1" applyFill="1" applyBorder="1" applyAlignment="1" applyProtection="1">
      <alignment vertical="center" wrapText="1"/>
    </xf>
    <xf numFmtId="0" fontId="0" fillId="0" borderId="0" xfId="2" applyFont="1" applyFill="1" applyBorder="1" applyAlignment="1" applyProtection="1">
      <alignment shrinkToFit="1"/>
    </xf>
    <xf numFmtId="0" fontId="5" fillId="2" borderId="22"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51" xfId="3" applyFont="1" applyFill="1" applyBorder="1" applyAlignment="1">
      <alignment horizontal="center" vertical="center" wrapText="1"/>
    </xf>
    <xf numFmtId="179" fontId="19" fillId="0"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34" fillId="3" borderId="48" xfId="0" applyFont="1" applyFill="1" applyBorder="1" applyAlignment="1" applyProtection="1">
      <alignment horizontal="center" vertical="center"/>
      <protection locked="0"/>
    </xf>
    <xf numFmtId="0" fontId="34" fillId="3" borderId="36"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3" fillId="0" borderId="5"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6" fillId="2" borderId="0" xfId="0" applyFont="1" applyFill="1" applyAlignment="1" applyProtection="1">
      <alignment horizontal="center" vertical="center"/>
    </xf>
    <xf numFmtId="0" fontId="3" fillId="2" borderId="0" xfId="0" applyFont="1" applyFill="1" applyAlignment="1" applyProtection="1">
      <alignment vertical="top"/>
    </xf>
    <xf numFmtId="0" fontId="5" fillId="2" borderId="0" xfId="0" applyFont="1" applyFill="1" applyAlignment="1" applyProtection="1">
      <alignment horizontal="left" vertical="center" wrapText="1"/>
    </xf>
    <xf numFmtId="0" fontId="5" fillId="2" borderId="0" xfId="0" applyFont="1" applyFill="1" applyAlignment="1" applyProtection="1">
      <alignment horizontal="left" vertical="center"/>
    </xf>
    <xf numFmtId="0" fontId="0" fillId="2" borderId="0" xfId="0" applyFill="1" applyAlignment="1" applyProtection="1">
      <alignment horizontal="left" vertical="center"/>
    </xf>
    <xf numFmtId="0" fontId="29" fillId="2" borderId="61" xfId="0" applyFont="1" applyFill="1" applyBorder="1" applyAlignment="1" applyProtection="1">
      <alignment horizontal="center" vertical="center"/>
    </xf>
    <xf numFmtId="0" fontId="29" fillId="2" borderId="62" xfId="0" applyFont="1" applyFill="1" applyBorder="1" applyAlignment="1" applyProtection="1">
      <alignment horizontal="center" vertical="center"/>
    </xf>
    <xf numFmtId="0" fontId="5" fillId="2" borderId="54" xfId="0" applyFont="1" applyFill="1" applyBorder="1" applyAlignment="1" applyProtection="1">
      <alignment horizontal="center" vertical="center"/>
    </xf>
    <xf numFmtId="0" fontId="5" fillId="2" borderId="36" xfId="0" applyFont="1" applyFill="1" applyBorder="1" applyAlignment="1" applyProtection="1">
      <alignment horizontal="center" vertical="center"/>
    </xf>
    <xf numFmtId="0" fontId="10" fillId="2" borderId="63" xfId="0" applyFont="1" applyFill="1" applyBorder="1" applyAlignment="1" applyProtection="1">
      <alignment horizontal="center" vertical="center"/>
    </xf>
    <xf numFmtId="0" fontId="15" fillId="2" borderId="59" xfId="0" applyFont="1" applyFill="1" applyBorder="1" applyAlignment="1" applyProtection="1">
      <alignment vertical="center"/>
    </xf>
    <xf numFmtId="0" fontId="15" fillId="2" borderId="64" xfId="0" applyFont="1" applyFill="1" applyBorder="1" applyAlignment="1" applyProtection="1">
      <alignment vertical="center"/>
    </xf>
    <xf numFmtId="0" fontId="5" fillId="4" borderId="58" xfId="0" applyFont="1" applyFill="1" applyBorder="1" applyAlignment="1" applyProtection="1">
      <alignment horizontal="left" vertical="center"/>
      <protection locked="0"/>
    </xf>
    <xf numFmtId="0" fontId="5" fillId="4" borderId="59" xfId="0" applyFont="1" applyFill="1" applyBorder="1" applyAlignment="1" applyProtection="1">
      <alignment horizontal="left" vertical="center"/>
      <protection locked="0"/>
    </xf>
    <xf numFmtId="0" fontId="5" fillId="4" borderId="6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176" fontId="10" fillId="0" borderId="6"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27" fillId="3" borderId="28" xfId="0"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protection locked="0"/>
    </xf>
    <xf numFmtId="0" fontId="27" fillId="3" borderId="18" xfId="0" applyFont="1" applyFill="1" applyBorder="1" applyAlignment="1" applyProtection="1">
      <alignment horizontal="left" vertical="center" wrapText="1"/>
      <protection locked="0"/>
    </xf>
    <xf numFmtId="0" fontId="5" fillId="3" borderId="12"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8" fillId="2" borderId="37"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5" fillId="3" borderId="2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2" borderId="7"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42" fillId="2" borderId="31" xfId="0" applyFont="1" applyFill="1" applyBorder="1" applyAlignment="1" applyProtection="1">
      <alignment horizontal="left" vertical="center" wrapText="1"/>
    </xf>
    <xf numFmtId="0" fontId="27" fillId="2" borderId="31"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49" fontId="34" fillId="3" borderId="30" xfId="0" applyNumberFormat="1" applyFont="1" applyFill="1" applyBorder="1" applyAlignment="1" applyProtection="1">
      <alignment horizontal="center" vertical="center"/>
      <protection locked="0"/>
    </xf>
    <xf numFmtId="49" fontId="34" fillId="3" borderId="31" xfId="0" applyNumberFormat="1" applyFont="1" applyFill="1" applyBorder="1" applyAlignment="1" applyProtection="1">
      <alignment horizontal="center" vertical="center"/>
      <protection locked="0"/>
    </xf>
    <xf numFmtId="49" fontId="34" fillId="3" borderId="6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left" vertical="center"/>
      <protection locked="0"/>
    </xf>
    <xf numFmtId="0" fontId="5" fillId="2" borderId="28" xfId="0" applyFont="1" applyFill="1" applyBorder="1" applyAlignment="1" applyProtection="1">
      <alignment horizontal="center" vertical="center"/>
    </xf>
    <xf numFmtId="0" fontId="0" fillId="2" borderId="18" xfId="0" applyFill="1" applyBorder="1" applyAlignment="1" applyProtection="1">
      <alignment vertical="center"/>
    </xf>
    <xf numFmtId="0" fontId="20" fillId="2" borderId="47" xfId="0" applyFont="1" applyFill="1" applyBorder="1" applyAlignment="1" applyProtection="1">
      <alignment horizontal="center" vertical="center"/>
    </xf>
    <xf numFmtId="0" fontId="20" fillId="2" borderId="31" xfId="0" applyFont="1" applyFill="1" applyBorder="1" applyAlignment="1" applyProtection="1">
      <alignment horizontal="center" vertic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5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5" fillId="3" borderId="28"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2" borderId="30"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24"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3" borderId="17" xfId="0" applyFont="1" applyFill="1" applyBorder="1" applyAlignment="1" applyProtection="1">
      <alignment vertical="center"/>
      <protection locked="0"/>
    </xf>
    <xf numFmtId="0" fontId="5" fillId="3" borderId="21"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2" borderId="21"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5" fillId="3" borderId="1" xfId="0" applyFont="1" applyFill="1" applyBorder="1" applyAlignment="1" applyProtection="1">
      <alignment vertical="center"/>
      <protection locked="0"/>
    </xf>
    <xf numFmtId="0" fontId="10" fillId="2" borderId="7"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180" fontId="5" fillId="0" borderId="45" xfId="0" applyNumberFormat="1" applyFont="1" applyFill="1" applyBorder="1" applyAlignment="1" applyProtection="1">
      <alignment horizontal="center" vertical="center"/>
    </xf>
    <xf numFmtId="180" fontId="5" fillId="0" borderId="2" xfId="0" applyNumberFormat="1" applyFont="1" applyFill="1" applyBorder="1" applyAlignment="1" applyProtection="1">
      <alignment horizontal="center" vertical="center"/>
    </xf>
    <xf numFmtId="180" fontId="5" fillId="3" borderId="38" xfId="0" applyNumberFormat="1" applyFont="1" applyFill="1" applyBorder="1" applyAlignment="1" applyProtection="1">
      <alignment horizontal="left" vertical="center"/>
      <protection locked="0"/>
    </xf>
    <xf numFmtId="180" fontId="5" fillId="3" borderId="45" xfId="0" applyNumberFormat="1" applyFont="1" applyFill="1" applyBorder="1" applyAlignment="1" applyProtection="1">
      <alignment horizontal="left" vertical="center"/>
      <protection locked="0"/>
    </xf>
    <xf numFmtId="0" fontId="8" fillId="0" borderId="38" xfId="0" applyNumberFormat="1" applyFont="1" applyFill="1" applyBorder="1" applyAlignment="1" applyProtection="1">
      <alignment horizontal="center" vertical="center"/>
    </xf>
    <xf numFmtId="0" fontId="8" fillId="0" borderId="45"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5" fillId="2" borderId="21" xfId="0" applyFont="1" applyFill="1" applyBorder="1" applyAlignment="1" applyProtection="1">
      <alignment horizontal="left" vertical="center" shrinkToFit="1"/>
    </xf>
    <xf numFmtId="0" fontId="5" fillId="2" borderId="6" xfId="0" applyFont="1" applyFill="1" applyBorder="1" applyAlignment="1" applyProtection="1">
      <alignment horizontal="left" vertical="center" shrinkToFit="1"/>
    </xf>
    <xf numFmtId="0" fontId="5" fillId="2" borderId="1" xfId="0" applyFont="1" applyFill="1" applyBorder="1" applyAlignment="1" applyProtection="1">
      <alignment horizontal="left" vertical="center" shrinkToFit="1"/>
    </xf>
    <xf numFmtId="178" fontId="5" fillId="3" borderId="21" xfId="0" applyNumberFormat="1" applyFont="1" applyFill="1" applyBorder="1" applyAlignment="1" applyProtection="1">
      <alignment horizontal="center" vertical="center"/>
      <protection locked="0"/>
    </xf>
    <xf numFmtId="178" fontId="5" fillId="3" borderId="19" xfId="0" applyNumberFormat="1" applyFont="1" applyFill="1" applyBorder="1" applyAlignment="1" applyProtection="1">
      <alignment horizontal="center" vertical="center"/>
      <protection locked="0"/>
    </xf>
    <xf numFmtId="49" fontId="5" fillId="3" borderId="38" xfId="0" applyNumberFormat="1" applyFont="1" applyFill="1" applyBorder="1" applyAlignment="1" applyProtection="1">
      <alignment vertical="center"/>
      <protection locked="0"/>
    </xf>
    <xf numFmtId="49" fontId="5" fillId="3" borderId="45" xfId="0" applyNumberFormat="1" applyFont="1" applyFill="1" applyBorder="1" applyAlignment="1" applyProtection="1">
      <alignment vertical="center"/>
      <protection locked="0"/>
    </xf>
    <xf numFmtId="49" fontId="5" fillId="3" borderId="20" xfId="0" applyNumberFormat="1" applyFont="1" applyFill="1" applyBorder="1" applyAlignment="1" applyProtection="1">
      <alignment vertical="center"/>
      <protection locked="0"/>
    </xf>
    <xf numFmtId="0" fontId="5" fillId="2" borderId="32"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xf>
    <xf numFmtId="0" fontId="5" fillId="2" borderId="45"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14" xfId="0" applyFont="1" applyFill="1" applyBorder="1" applyAlignment="1" applyProtection="1">
      <alignment horizontal="center" vertical="center" shrinkToFit="1"/>
    </xf>
    <xf numFmtId="0" fontId="0" fillId="2" borderId="29" xfId="0" applyFill="1" applyBorder="1" applyAlignment="1" applyProtection="1">
      <alignment horizontal="center" vertical="center"/>
    </xf>
    <xf numFmtId="0" fontId="5" fillId="2" borderId="27" xfId="0" applyFont="1" applyFill="1" applyBorder="1" applyAlignment="1" applyProtection="1">
      <alignment horizontal="center" vertical="center" shrinkToFit="1"/>
    </xf>
    <xf numFmtId="0" fontId="0" fillId="2" borderId="9" xfId="0" applyFill="1" applyBorder="1" applyAlignment="1" applyProtection="1">
      <alignment vertical="center"/>
    </xf>
    <xf numFmtId="178" fontId="5" fillId="3" borderId="30" xfId="0" applyNumberFormat="1" applyFont="1" applyFill="1" applyBorder="1" applyAlignment="1" applyProtection="1">
      <alignment horizontal="center" vertical="center"/>
      <protection locked="0"/>
    </xf>
    <xf numFmtId="178" fontId="5" fillId="3" borderId="26" xfId="0" applyNumberFormat="1" applyFont="1" applyFill="1" applyBorder="1" applyAlignment="1" applyProtection="1">
      <alignment horizontal="center" vertical="center"/>
      <protection locked="0"/>
    </xf>
    <xf numFmtId="0" fontId="5" fillId="2" borderId="30" xfId="0" applyFont="1" applyFill="1" applyBorder="1" applyAlignment="1" applyProtection="1">
      <alignment horizontal="left" vertical="center" shrinkToFit="1"/>
    </xf>
    <xf numFmtId="0" fontId="5" fillId="2" borderId="31"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3" borderId="27"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5" xfId="0" applyFont="1" applyFill="1" applyBorder="1" applyAlignment="1" applyProtection="1">
      <alignment vertical="center" wrapText="1"/>
      <protection locked="0"/>
    </xf>
    <xf numFmtId="0" fontId="5" fillId="3" borderId="28" xfId="0" applyFont="1" applyFill="1" applyBorder="1" applyAlignment="1" applyProtection="1">
      <alignment vertical="center" wrapText="1"/>
      <protection locked="0"/>
    </xf>
    <xf numFmtId="0" fontId="3" fillId="2" borderId="32"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46" xfId="0" applyFont="1" applyFill="1" applyBorder="1" applyAlignment="1" applyProtection="1">
      <alignment horizontal="left" vertical="center"/>
    </xf>
    <xf numFmtId="0" fontId="3" fillId="2" borderId="12"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5" fillId="2" borderId="14"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33" xfId="0" applyFont="1" applyFill="1" applyBorder="1" applyAlignment="1" applyProtection="1">
      <alignment horizontal="center" vertical="center"/>
    </xf>
    <xf numFmtId="0" fontId="5" fillId="2" borderId="53"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7"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4" borderId="55" xfId="0" applyNumberFormat="1" applyFont="1" applyFill="1" applyBorder="1" applyAlignment="1" applyProtection="1">
      <alignment horizontal="center" vertical="center"/>
      <protection locked="0"/>
    </xf>
    <xf numFmtId="0" fontId="5" fillId="4" borderId="56" xfId="0" applyNumberFormat="1" applyFont="1" applyFill="1" applyBorder="1" applyAlignment="1" applyProtection="1">
      <alignment horizontal="center" vertical="center"/>
      <protection locked="0"/>
    </xf>
    <xf numFmtId="0" fontId="5" fillId="4" borderId="33" xfId="0" applyNumberFormat="1" applyFont="1" applyFill="1" applyBorder="1" applyAlignment="1" applyProtection="1">
      <alignment horizontal="center" vertical="center"/>
      <protection locked="0"/>
    </xf>
    <xf numFmtId="0" fontId="5" fillId="4" borderId="53" xfId="0" applyNumberFormat="1"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5" fillId="2" borderId="7" xfId="0" applyFont="1" applyFill="1" applyBorder="1" applyAlignment="1" applyProtection="1">
      <alignment vertical="center" shrinkToFit="1"/>
    </xf>
    <xf numFmtId="0" fontId="5" fillId="2" borderId="6" xfId="0" applyFont="1" applyFill="1" applyBorder="1" applyAlignment="1" applyProtection="1">
      <alignment vertical="center" shrinkToFit="1"/>
    </xf>
    <xf numFmtId="0" fontId="5" fillId="3" borderId="14"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183" fontId="43" fillId="3" borderId="21" xfId="1" applyNumberFormat="1" applyFont="1" applyFill="1" applyBorder="1" applyAlignment="1" applyProtection="1">
      <alignment horizontal="right" vertical="center"/>
      <protection locked="0"/>
    </xf>
    <xf numFmtId="183" fontId="43" fillId="3" borderId="6" xfId="1" applyNumberFormat="1" applyFont="1" applyFill="1" applyBorder="1" applyAlignment="1" applyProtection="1">
      <alignment horizontal="right" vertical="center"/>
      <protection locked="0"/>
    </xf>
    <xf numFmtId="0" fontId="5" fillId="2" borderId="7" xfId="0" applyFont="1" applyFill="1" applyBorder="1" applyAlignment="1" applyProtection="1">
      <alignment horizontal="left" vertical="center" shrinkToFit="1"/>
    </xf>
    <xf numFmtId="0" fontId="5" fillId="2" borderId="19" xfId="0" applyFont="1" applyFill="1" applyBorder="1" applyAlignment="1" applyProtection="1">
      <alignment horizontal="left" vertical="center" shrinkToFit="1"/>
    </xf>
    <xf numFmtId="0" fontId="5" fillId="3" borderId="6" xfId="0" applyFont="1" applyFill="1" applyBorder="1" applyAlignment="1" applyProtection="1">
      <alignment horizontal="right" vertical="center"/>
      <protection locked="0"/>
    </xf>
    <xf numFmtId="0" fontId="23" fillId="2" borderId="6"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5" fillId="3" borderId="21" xfId="0" applyFont="1" applyFill="1" applyBorder="1" applyAlignment="1" applyProtection="1">
      <alignment horizontal="right" vertical="center"/>
      <protection locked="0"/>
    </xf>
    <xf numFmtId="0" fontId="5" fillId="2" borderId="9" xfId="0" applyFont="1" applyFill="1" applyBorder="1" applyAlignment="1" applyProtection="1">
      <alignment horizontal="center" vertical="center" shrinkToFit="1"/>
    </xf>
    <xf numFmtId="0" fontId="5" fillId="2" borderId="46"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5" fillId="2" borderId="29" xfId="0" applyFont="1" applyFill="1" applyBorder="1" applyAlignment="1" applyProtection="1">
      <alignment horizontal="center" vertical="center" shrinkToFit="1"/>
    </xf>
    <xf numFmtId="0" fontId="5" fillId="2" borderId="28" xfId="0" applyFont="1" applyFill="1" applyBorder="1" applyAlignment="1" applyProtection="1">
      <alignment horizontal="center" vertical="center" shrinkToFit="1"/>
    </xf>
    <xf numFmtId="0" fontId="5" fillId="2" borderId="18" xfId="0" applyFont="1" applyFill="1" applyBorder="1" applyAlignment="1" applyProtection="1">
      <alignment horizontal="center" vertical="center" shrinkToFit="1"/>
    </xf>
    <xf numFmtId="0" fontId="5" fillId="2" borderId="21" xfId="0" applyFont="1" applyFill="1" applyBorder="1" applyAlignment="1" applyProtection="1">
      <alignment vertical="center" shrinkToFit="1"/>
    </xf>
    <xf numFmtId="0" fontId="5" fillId="2" borderId="19" xfId="0" applyFont="1" applyFill="1" applyBorder="1" applyAlignment="1" applyProtection="1">
      <alignment vertical="center" shrinkToFit="1"/>
    </xf>
    <xf numFmtId="0" fontId="5" fillId="2" borderId="15" xfId="0" applyFont="1" applyFill="1" applyBorder="1" applyAlignment="1" applyProtection="1">
      <alignment horizontal="center" vertical="center" shrinkToFit="1"/>
    </xf>
    <xf numFmtId="0" fontId="5" fillId="2" borderId="4" xfId="0" applyFont="1" applyFill="1" applyBorder="1" applyAlignment="1" applyProtection="1">
      <alignment horizontal="center" vertical="center" shrinkToFit="1"/>
    </xf>
    <xf numFmtId="0" fontId="5" fillId="3" borderId="1" xfId="0" applyFont="1" applyFill="1" applyBorder="1" applyAlignment="1" applyProtection="1">
      <alignment horizontal="center" vertical="center" shrinkToFit="1"/>
      <protection locked="0"/>
    </xf>
    <xf numFmtId="183" fontId="5" fillId="3" borderId="30" xfId="0" applyNumberFormat="1" applyFont="1" applyFill="1" applyBorder="1" applyAlignment="1" applyProtection="1">
      <alignment horizontal="right" vertical="center"/>
      <protection locked="0"/>
    </xf>
    <xf numFmtId="183" fontId="5" fillId="3" borderId="31" xfId="0" applyNumberFormat="1" applyFont="1" applyFill="1" applyBorder="1" applyAlignment="1" applyProtection="1">
      <alignment horizontal="right" vertical="center"/>
      <protection locked="0"/>
    </xf>
    <xf numFmtId="20" fontId="5" fillId="3" borderId="21" xfId="0" applyNumberFormat="1" applyFont="1" applyFill="1" applyBorder="1" applyAlignment="1" applyProtection="1">
      <alignment horizontal="left" vertical="center" shrinkToFit="1"/>
      <protection locked="0"/>
    </xf>
    <xf numFmtId="20" fontId="5" fillId="3" borderId="6" xfId="0" applyNumberFormat="1" applyFont="1" applyFill="1" applyBorder="1" applyAlignment="1" applyProtection="1">
      <alignment horizontal="left" vertical="center" shrinkToFit="1"/>
      <protection locked="0"/>
    </xf>
    <xf numFmtId="20" fontId="5" fillId="3" borderId="1" xfId="0" applyNumberFormat="1" applyFont="1" applyFill="1" applyBorder="1" applyAlignment="1" applyProtection="1">
      <alignment horizontal="left" vertical="center" shrinkToFit="1"/>
      <protection locked="0"/>
    </xf>
    <xf numFmtId="183" fontId="5" fillId="3" borderId="21" xfId="0" applyNumberFormat="1" applyFont="1" applyFill="1" applyBorder="1" applyAlignment="1" applyProtection="1">
      <alignment horizontal="right" vertical="center"/>
      <protection locked="0"/>
    </xf>
    <xf numFmtId="183" fontId="5" fillId="3" borderId="6" xfId="0" applyNumberFormat="1" applyFont="1" applyFill="1" applyBorder="1" applyAlignment="1" applyProtection="1">
      <alignment horizontal="right" vertical="center"/>
      <protection locked="0"/>
    </xf>
    <xf numFmtId="0" fontId="5" fillId="3" borderId="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center" vertical="center"/>
      <protection locked="0"/>
    </xf>
    <xf numFmtId="14" fontId="5" fillId="2" borderId="0" xfId="0" applyNumberFormat="1" applyFont="1" applyFill="1" applyBorder="1" applyAlignment="1" applyProtection="1">
      <alignment horizontal="center" vertical="center" wrapText="1"/>
    </xf>
    <xf numFmtId="0" fontId="7" fillId="2" borderId="0" xfId="0" applyFont="1" applyFill="1" applyBorder="1" applyAlignment="1" applyProtection="1">
      <alignment vertical="center" wrapText="1"/>
    </xf>
    <xf numFmtId="0" fontId="7" fillId="2" borderId="0" xfId="0" applyFont="1" applyFill="1" applyAlignment="1" applyProtection="1">
      <alignment vertical="center"/>
    </xf>
    <xf numFmtId="0" fontId="7" fillId="2" borderId="8" xfId="0" applyFont="1" applyFill="1" applyBorder="1" applyAlignment="1" applyProtection="1">
      <alignment vertical="center"/>
    </xf>
    <xf numFmtId="0" fontId="5" fillId="3" borderId="6" xfId="0" applyNumberFormat="1" applyFont="1" applyFill="1" applyBorder="1" applyAlignment="1" applyProtection="1">
      <alignment horizontal="left" vertical="center" wrapText="1"/>
      <protection locked="0"/>
    </xf>
    <xf numFmtId="0" fontId="5" fillId="3" borderId="1" xfId="0" applyNumberFormat="1" applyFont="1" applyFill="1" applyBorder="1" applyAlignment="1" applyProtection="1">
      <alignment horizontal="left" vertical="center" wrapText="1"/>
      <protection locked="0"/>
    </xf>
    <xf numFmtId="0" fontId="0" fillId="2" borderId="12" xfId="0" applyFill="1" applyBorder="1" applyAlignment="1" applyProtection="1">
      <alignment vertical="center"/>
    </xf>
    <xf numFmtId="0" fontId="3" fillId="2" borderId="5"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5" fillId="2" borderId="14" xfId="0" applyFont="1" applyFill="1" applyBorder="1" applyAlignment="1" applyProtection="1">
      <alignment horizontal="center" vertical="center" textRotation="255"/>
    </xf>
    <xf numFmtId="0" fontId="5" fillId="2" borderId="9" xfId="0" applyFont="1" applyFill="1" applyBorder="1" applyAlignment="1" applyProtection="1">
      <alignment horizontal="center" vertical="center" textRotation="255"/>
    </xf>
    <xf numFmtId="0" fontId="5" fillId="2" borderId="5" xfId="0" applyFont="1" applyFill="1" applyBorder="1" applyAlignment="1" applyProtection="1">
      <alignment horizontal="center" vertical="center" textRotation="255"/>
    </xf>
    <xf numFmtId="0" fontId="5" fillId="2" borderId="0" xfId="0" applyFont="1" applyFill="1" applyBorder="1" applyAlignment="1" applyProtection="1">
      <alignment horizontal="center" vertical="center" textRotation="255"/>
    </xf>
    <xf numFmtId="0" fontId="0" fillId="2" borderId="19" xfId="0" applyFill="1" applyBorder="1" applyAlignment="1" applyProtection="1">
      <alignment horizontal="center" vertical="center"/>
    </xf>
    <xf numFmtId="49" fontId="5" fillId="3" borderId="21" xfId="0" applyNumberFormat="1" applyFont="1" applyFill="1" applyBorder="1" applyAlignment="1" applyProtection="1">
      <alignment horizontal="left" vertical="center"/>
      <protection locked="0"/>
    </xf>
    <xf numFmtId="49" fontId="5" fillId="3" borderId="6"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protection locked="0"/>
    </xf>
    <xf numFmtId="0" fontId="10" fillId="0" borderId="6"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5" fillId="3" borderId="6"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3" borderId="2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3" fillId="2" borderId="32" xfId="3" applyFont="1" applyFill="1" applyBorder="1" applyAlignment="1" applyProtection="1">
      <alignment vertical="center" wrapText="1"/>
    </xf>
    <xf numFmtId="0" fontId="3" fillId="2" borderId="10" xfId="3" applyFont="1" applyFill="1" applyBorder="1" applyAlignment="1" applyProtection="1">
      <alignment vertical="center" wrapText="1"/>
    </xf>
    <xf numFmtId="0" fontId="3" fillId="2" borderId="11" xfId="3" applyFont="1" applyFill="1" applyBorder="1" applyAlignment="1" applyProtection="1">
      <alignment vertical="center" wrapText="1"/>
    </xf>
    <xf numFmtId="0" fontId="3" fillId="2" borderId="46" xfId="3" applyFont="1" applyFill="1" applyBorder="1" applyAlignment="1" applyProtection="1">
      <alignment vertical="center" wrapText="1"/>
    </xf>
    <xf numFmtId="0" fontId="3" fillId="2" borderId="12" xfId="3" applyFont="1" applyFill="1" applyBorder="1" applyAlignment="1" applyProtection="1">
      <alignment vertical="center" wrapText="1"/>
    </xf>
    <xf numFmtId="0" fontId="3" fillId="2" borderId="4" xfId="3" applyFont="1" applyFill="1" applyBorder="1" applyAlignment="1" applyProtection="1">
      <alignment vertical="center" wrapText="1"/>
    </xf>
    <xf numFmtId="0" fontId="7" fillId="2" borderId="5" xfId="3" applyFont="1" applyFill="1" applyBorder="1" applyAlignment="1" applyProtection="1">
      <alignment vertical="center" wrapText="1"/>
    </xf>
    <xf numFmtId="0" fontId="7" fillId="2" borderId="0" xfId="3" applyFont="1" applyFill="1" applyBorder="1" applyAlignment="1" applyProtection="1">
      <alignment vertical="center"/>
    </xf>
    <xf numFmtId="0" fontId="7" fillId="2" borderId="8" xfId="3" applyFont="1" applyFill="1" applyBorder="1" applyAlignment="1" applyProtection="1">
      <alignment vertical="center"/>
    </xf>
    <xf numFmtId="0" fontId="7" fillId="2" borderId="46" xfId="3" applyFont="1" applyFill="1" applyBorder="1" applyAlignment="1" applyProtection="1">
      <alignment vertical="center"/>
    </xf>
    <xf numFmtId="0" fontId="7" fillId="2" borderId="12" xfId="3" applyFont="1" applyFill="1" applyBorder="1" applyAlignment="1" applyProtection="1">
      <alignment vertical="center"/>
    </xf>
    <xf numFmtId="0" fontId="7" fillId="2" borderId="4" xfId="3" applyFont="1" applyFill="1" applyBorder="1" applyAlignment="1" applyProtection="1">
      <alignment vertical="center"/>
    </xf>
    <xf numFmtId="0" fontId="0" fillId="2" borderId="29" xfId="0" applyFill="1" applyBorder="1" applyAlignment="1" applyProtection="1">
      <alignment vertical="center"/>
    </xf>
    <xf numFmtId="0" fontId="0" fillId="2" borderId="23" xfId="0" applyFill="1" applyBorder="1" applyAlignment="1" applyProtection="1">
      <alignment vertical="center"/>
    </xf>
    <xf numFmtId="0" fontId="0" fillId="2" borderId="5" xfId="0" applyFill="1" applyBorder="1" applyAlignment="1" applyProtection="1">
      <alignment vertical="center"/>
    </xf>
    <xf numFmtId="0" fontId="0" fillId="2" borderId="51" xfId="0" applyFill="1" applyBorder="1" applyAlignment="1" applyProtection="1">
      <alignment vertical="center"/>
    </xf>
    <xf numFmtId="0" fontId="5" fillId="0" borderId="7"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27" fillId="3" borderId="21" xfId="0" applyNumberFormat="1" applyFont="1" applyFill="1" applyBorder="1" applyAlignment="1" applyProtection="1">
      <alignment vertical="center"/>
      <protection locked="0"/>
    </xf>
    <xf numFmtId="0" fontId="27" fillId="3" borderId="6" xfId="0" applyNumberFormat="1" applyFont="1" applyFill="1" applyBorder="1" applyAlignment="1" applyProtection="1">
      <alignment vertical="center"/>
      <protection locked="0"/>
    </xf>
    <xf numFmtId="0" fontId="27" fillId="3" borderId="1" xfId="0" applyNumberFormat="1" applyFont="1" applyFill="1" applyBorder="1" applyAlignment="1" applyProtection="1">
      <alignment vertical="center"/>
      <protection locked="0"/>
    </xf>
    <xf numFmtId="0" fontId="3" fillId="2" borderId="32" xfId="0" applyFont="1" applyFill="1" applyBorder="1" applyAlignment="1" applyProtection="1">
      <alignment horizontal="left" vertical="center" shrinkToFit="1"/>
    </xf>
    <xf numFmtId="0" fontId="3" fillId="2" borderId="10" xfId="0" applyFont="1" applyFill="1" applyBorder="1" applyAlignment="1" applyProtection="1">
      <alignment horizontal="left" vertical="center" shrinkToFit="1"/>
    </xf>
    <xf numFmtId="0" fontId="3" fillId="2" borderId="11" xfId="0" applyFont="1" applyFill="1" applyBorder="1" applyAlignment="1" applyProtection="1">
      <alignment horizontal="left" vertical="center" shrinkToFit="1"/>
    </xf>
    <xf numFmtId="0" fontId="3" fillId="2" borderId="46" xfId="0" applyFont="1" applyFill="1" applyBorder="1" applyAlignment="1" applyProtection="1">
      <alignment horizontal="left" vertical="center" shrinkToFit="1"/>
    </xf>
    <xf numFmtId="0" fontId="3" fillId="2" borderId="12" xfId="0" applyFont="1" applyFill="1" applyBorder="1" applyAlignment="1" applyProtection="1">
      <alignment horizontal="left" vertical="center" shrinkToFit="1"/>
    </xf>
    <xf numFmtId="0" fontId="3" fillId="2" borderId="4" xfId="0" applyFont="1" applyFill="1" applyBorder="1" applyAlignment="1" applyProtection="1">
      <alignment horizontal="left" vertical="center" shrinkToFit="1"/>
    </xf>
    <xf numFmtId="0" fontId="5" fillId="2" borderId="22" xfId="0" applyFont="1" applyFill="1" applyBorder="1" applyAlignment="1" applyProtection="1">
      <alignment horizontal="center" vertical="center"/>
    </xf>
    <xf numFmtId="49" fontId="7" fillId="3" borderId="13" xfId="2" applyNumberFormat="1" applyFont="1" applyFill="1" applyBorder="1" applyAlignment="1" applyProtection="1">
      <alignment horizontal="left" shrinkToFit="1"/>
      <protection locked="0"/>
    </xf>
    <xf numFmtId="0" fontId="1" fillId="2" borderId="5" xfId="2" applyNumberFormat="1" applyFill="1" applyBorder="1" applyAlignment="1" applyProtection="1">
      <alignment horizontal="center" vertical="center"/>
    </xf>
    <xf numFmtId="49" fontId="7" fillId="3" borderId="12" xfId="2" applyNumberFormat="1" applyFont="1" applyFill="1" applyBorder="1" applyAlignment="1" applyProtection="1">
      <alignment horizontal="left" shrinkToFit="1"/>
      <protection locked="0"/>
    </xf>
    <xf numFmtId="0" fontId="0" fillId="0" borderId="0" xfId="2" applyFont="1" applyFill="1" applyBorder="1" applyAlignment="1" applyProtection="1">
      <alignment shrinkToFit="1"/>
    </xf>
    <xf numFmtId="0" fontId="0" fillId="0" borderId="0" xfId="0" applyFill="1" applyAlignment="1" applyProtection="1"/>
    <xf numFmtId="0" fontId="7" fillId="2" borderId="34" xfId="2" applyFont="1" applyFill="1" applyBorder="1" applyAlignment="1" applyProtection="1">
      <alignment vertical="top" wrapText="1" shrinkToFit="1"/>
    </xf>
    <xf numFmtId="178" fontId="26" fillId="2" borderId="0" xfId="2" applyNumberFormat="1" applyFont="1" applyFill="1" applyBorder="1" applyAlignment="1" applyProtection="1">
      <alignment vertical="center" wrapText="1"/>
    </xf>
    <xf numFmtId="0" fontId="31" fillId="2" borderId="5" xfId="2" applyNumberFormat="1" applyFont="1" applyFill="1" applyBorder="1" applyAlignment="1" applyProtection="1">
      <alignment horizontal="center" vertical="center"/>
    </xf>
    <xf numFmtId="49" fontId="5" fillId="2" borderId="41" xfId="3" applyNumberFormat="1" applyFont="1" applyFill="1" applyBorder="1" applyAlignment="1">
      <alignment horizontal="left" vertical="center" shrinkToFit="1"/>
    </xf>
    <xf numFmtId="49" fontId="1" fillId="2" borderId="43" xfId="3" applyNumberFormat="1" applyFill="1" applyBorder="1" applyAlignment="1">
      <alignment horizontal="left" vertical="center" shrinkToFit="1"/>
    </xf>
    <xf numFmtId="0" fontId="5" fillId="2" borderId="24" xfId="3"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25" xfId="3" applyFont="1" applyFill="1" applyBorder="1" applyAlignment="1">
      <alignment horizontal="center" vertical="center" wrapText="1"/>
    </xf>
    <xf numFmtId="49" fontId="5" fillId="2" borderId="39" xfId="3" applyNumberFormat="1" applyFont="1" applyFill="1" applyBorder="1" applyAlignment="1">
      <alignment horizontal="left" vertical="center" shrinkToFit="1"/>
    </xf>
    <xf numFmtId="49" fontId="1" fillId="2" borderId="42" xfId="3" applyNumberFormat="1" applyFill="1" applyBorder="1" applyAlignment="1">
      <alignment horizontal="left" vertical="center" shrinkToFit="1"/>
    </xf>
    <xf numFmtId="179" fontId="35" fillId="3" borderId="27" xfId="3" applyNumberFormat="1" applyFont="1" applyFill="1" applyBorder="1" applyAlignment="1" applyProtection="1">
      <alignment horizontal="center" vertical="center" wrapText="1" shrinkToFit="1"/>
      <protection locked="0"/>
    </xf>
    <xf numFmtId="179" fontId="35" fillId="3" borderId="9" xfId="3" applyNumberFormat="1" applyFont="1" applyFill="1" applyBorder="1" applyAlignment="1" applyProtection="1">
      <alignment horizontal="center" vertical="center" wrapText="1" shrinkToFit="1"/>
      <protection locked="0"/>
    </xf>
    <xf numFmtId="179" fontId="35" fillId="3" borderId="29" xfId="3" applyNumberFormat="1" applyFont="1" applyFill="1" applyBorder="1" applyAlignment="1" applyProtection="1">
      <alignment horizontal="center" vertical="center" wrapText="1" shrinkToFit="1"/>
      <protection locked="0"/>
    </xf>
    <xf numFmtId="0" fontId="5" fillId="2" borderId="27"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29" xfId="3" applyFont="1" applyFill="1" applyBorder="1" applyAlignment="1">
      <alignment horizontal="center" vertical="center" wrapText="1"/>
    </xf>
    <xf numFmtId="0" fontId="1" fillId="2" borderId="66" xfId="3" applyFill="1" applyBorder="1" applyAlignment="1">
      <alignment horizontal="left" vertical="center" shrinkToFit="1"/>
    </xf>
    <xf numFmtId="0" fontId="1" fillId="2" borderId="67" xfId="3" applyFill="1" applyBorder="1" applyAlignment="1">
      <alignment horizontal="left" vertical="center" shrinkToFit="1"/>
    </xf>
    <xf numFmtId="0" fontId="1" fillId="2" borderId="68" xfId="3" applyFill="1" applyBorder="1" applyAlignment="1">
      <alignment horizontal="left" vertical="center" shrinkToFit="1"/>
    </xf>
    <xf numFmtId="0" fontId="5" fillId="2" borderId="28" xfId="3" applyFont="1" applyFill="1" applyBorder="1" applyAlignment="1">
      <alignment horizontal="left" vertical="top" wrapText="1" shrinkToFit="1"/>
    </xf>
    <xf numFmtId="0" fontId="5" fillId="2" borderId="12" xfId="3" applyFont="1" applyFill="1" applyBorder="1" applyAlignment="1">
      <alignment horizontal="left" vertical="top" wrapText="1" shrinkToFit="1"/>
    </xf>
    <xf numFmtId="0" fontId="5" fillId="2" borderId="18" xfId="3" applyFont="1" applyFill="1" applyBorder="1" applyAlignment="1">
      <alignment horizontal="left" vertical="top" wrapText="1" shrinkToFit="1"/>
    </xf>
    <xf numFmtId="0" fontId="5" fillId="2" borderId="28"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8" xfId="3" applyFont="1" applyFill="1" applyBorder="1" applyAlignment="1">
      <alignment horizontal="center" vertical="center" wrapText="1"/>
    </xf>
    <xf numFmtId="49" fontId="1" fillId="2" borderId="41" xfId="3" applyNumberFormat="1" applyFill="1" applyBorder="1" applyAlignment="1">
      <alignment horizontal="left" vertical="center" shrinkToFit="1"/>
    </xf>
    <xf numFmtId="0" fontId="1" fillId="2" borderId="69" xfId="3" applyFill="1" applyBorder="1" applyAlignment="1">
      <alignment horizontal="left" vertical="center"/>
    </xf>
    <xf numFmtId="0" fontId="1" fillId="2" borderId="70" xfId="3" applyFill="1" applyBorder="1" applyAlignment="1">
      <alignment horizontal="left" vertical="center"/>
    </xf>
    <xf numFmtId="0" fontId="1" fillId="2" borderId="71" xfId="3" applyFill="1" applyBorder="1" applyAlignment="1">
      <alignment horizontal="left" vertical="center"/>
    </xf>
    <xf numFmtId="0" fontId="0" fillId="2" borderId="27" xfId="3" applyFont="1" applyFill="1" applyBorder="1" applyAlignment="1">
      <alignment vertical="center" wrapText="1" shrinkToFit="1"/>
    </xf>
    <xf numFmtId="0" fontId="1" fillId="2" borderId="9" xfId="3" applyFill="1" applyBorder="1" applyAlignment="1">
      <alignment vertical="center" shrinkToFit="1"/>
    </xf>
    <xf numFmtId="0" fontId="1" fillId="2" borderId="15" xfId="3" applyFill="1" applyBorder="1" applyAlignment="1">
      <alignment vertical="center" shrinkToFit="1"/>
    </xf>
    <xf numFmtId="0" fontId="1" fillId="2" borderId="28" xfId="3" applyFill="1" applyBorder="1" applyAlignment="1">
      <alignment vertical="center" shrinkToFit="1"/>
    </xf>
    <xf numFmtId="0" fontId="1" fillId="2" borderId="12" xfId="3" applyFill="1" applyBorder="1" applyAlignment="1">
      <alignment vertical="center" shrinkToFit="1"/>
    </xf>
    <xf numFmtId="0" fontId="1" fillId="2" borderId="4" xfId="3" applyFill="1" applyBorder="1" applyAlignment="1">
      <alignment vertical="center" shrinkToFit="1"/>
    </xf>
    <xf numFmtId="0" fontId="5" fillId="2" borderId="22" xfId="3" applyFont="1" applyFill="1" applyBorder="1" applyAlignment="1">
      <alignment vertical="top" wrapText="1" shrinkToFit="1"/>
    </xf>
    <xf numFmtId="0" fontId="5" fillId="2" borderId="0" xfId="3" applyFont="1" applyFill="1" applyBorder="1" applyAlignment="1">
      <alignment vertical="top" wrapText="1" shrinkToFit="1"/>
    </xf>
    <xf numFmtId="0" fontId="5" fillId="2" borderId="51" xfId="3" applyFont="1" applyFill="1" applyBorder="1" applyAlignment="1">
      <alignment vertical="top" wrapText="1" shrinkToFit="1"/>
    </xf>
    <xf numFmtId="0" fontId="5" fillId="2" borderId="28" xfId="3" applyFont="1" applyFill="1" applyBorder="1" applyAlignment="1">
      <alignment vertical="top" wrapText="1" shrinkToFit="1"/>
    </xf>
    <xf numFmtId="0" fontId="5" fillId="2" borderId="12" xfId="3" applyFont="1" applyFill="1" applyBorder="1" applyAlignment="1">
      <alignment vertical="top" wrapText="1" shrinkToFit="1"/>
    </xf>
    <xf numFmtId="0" fontId="5" fillId="2" borderId="18" xfId="3" applyFont="1" applyFill="1" applyBorder="1" applyAlignment="1">
      <alignment vertical="top" wrapText="1" shrinkToFit="1"/>
    </xf>
    <xf numFmtId="0" fontId="7" fillId="3" borderId="21" xfId="3" applyFont="1" applyFill="1" applyBorder="1" applyAlignment="1" applyProtection="1">
      <alignment horizontal="left" vertical="center" wrapText="1"/>
      <protection locked="0"/>
    </xf>
    <xf numFmtId="0" fontId="7" fillId="3" borderId="6" xfId="3" applyFont="1" applyFill="1" applyBorder="1" applyAlignment="1" applyProtection="1">
      <alignment horizontal="left" vertical="center" wrapText="1"/>
      <protection locked="0"/>
    </xf>
    <xf numFmtId="0" fontId="7" fillId="3" borderId="1" xfId="3" applyFont="1" applyFill="1" applyBorder="1" applyAlignment="1" applyProtection="1">
      <alignment horizontal="left" vertical="center" wrapText="1"/>
      <protection locked="0"/>
    </xf>
    <xf numFmtId="0" fontId="3" fillId="2" borderId="32" xfId="3" applyFont="1" applyFill="1" applyBorder="1" applyAlignment="1">
      <alignment horizontal="left" vertical="center"/>
    </xf>
    <xf numFmtId="0" fontId="1" fillId="2" borderId="10" xfId="3" applyFill="1" applyBorder="1" applyAlignment="1">
      <alignment horizontal="left" vertical="center"/>
    </xf>
    <xf numFmtId="0" fontId="1" fillId="2" borderId="46" xfId="3" applyFill="1" applyBorder="1" applyAlignment="1">
      <alignment horizontal="left" vertical="center"/>
    </xf>
    <xf numFmtId="0" fontId="1" fillId="2" borderId="12" xfId="3" applyFill="1" applyBorder="1" applyAlignment="1">
      <alignment horizontal="left" vertical="center"/>
    </xf>
    <xf numFmtId="0" fontId="0" fillId="2" borderId="9" xfId="3" applyFont="1" applyFill="1" applyBorder="1" applyAlignment="1">
      <alignment vertical="center" wrapText="1" shrinkToFit="1"/>
    </xf>
    <xf numFmtId="0" fontId="0" fillId="2" borderId="15" xfId="3" applyFont="1" applyFill="1" applyBorder="1" applyAlignment="1">
      <alignment vertical="center" wrapText="1" shrinkToFit="1"/>
    </xf>
    <xf numFmtId="0" fontId="0" fillId="2" borderId="28" xfId="3" applyFont="1" applyFill="1" applyBorder="1" applyAlignment="1">
      <alignment vertical="center" wrapText="1" shrinkToFit="1"/>
    </xf>
    <xf numFmtId="0" fontId="0" fillId="2" borderId="12" xfId="3" applyFont="1" applyFill="1" applyBorder="1" applyAlignment="1">
      <alignment vertical="center" wrapText="1" shrinkToFit="1"/>
    </xf>
    <xf numFmtId="0" fontId="0" fillId="2" borderId="4" xfId="3" applyFont="1" applyFill="1" applyBorder="1" applyAlignment="1">
      <alignment vertical="center" wrapText="1" shrinkToFit="1"/>
    </xf>
    <xf numFmtId="0" fontId="1" fillId="0" borderId="0" xfId="2" applyFont="1" applyFill="1" applyBorder="1" applyProtection="1"/>
    <xf numFmtId="178" fontId="0" fillId="2" borderId="41" xfId="2" applyNumberFormat="1" applyFont="1" applyFill="1" applyBorder="1" applyAlignment="1">
      <alignment vertical="top"/>
    </xf>
    <xf numFmtId="0" fontId="7" fillId="2" borderId="34" xfId="2" applyFont="1" applyFill="1" applyBorder="1" applyAlignment="1">
      <alignment vertical="top" wrapText="1" shrinkToFit="1"/>
    </xf>
    <xf numFmtId="178" fontId="0" fillId="2" borderId="34" xfId="2" applyNumberFormat="1" applyFont="1" applyFill="1" applyBorder="1"/>
    <xf numFmtId="0" fontId="7" fillId="2" borderId="34" xfId="2" applyFont="1" applyFill="1" applyBorder="1" applyAlignment="1">
      <alignment shrinkToFit="1"/>
    </xf>
    <xf numFmtId="0" fontId="1" fillId="2" borderId="22" xfId="2" applyFill="1" applyBorder="1" applyAlignment="1" applyProtection="1">
      <alignment horizontal="center"/>
      <protection locked="0"/>
    </xf>
    <xf numFmtId="178" fontId="0" fillId="2" borderId="0" xfId="2" applyNumberFormat="1" applyFont="1" applyFill="1"/>
    <xf numFmtId="0" fontId="1" fillId="2" borderId="0" xfId="2" applyFill="1" applyAlignment="1">
      <alignment shrinkToFit="1"/>
    </xf>
    <xf numFmtId="0" fontId="1" fillId="2" borderId="0" xfId="2" applyFill="1"/>
    <xf numFmtId="0" fontId="0" fillId="2" borderId="10" xfId="2" applyFont="1" applyFill="1" applyBorder="1" applyAlignment="1" applyProtection="1">
      <alignment horizontal="center"/>
      <protection locked="0"/>
    </xf>
    <xf numFmtId="178" fontId="1" fillId="0" borderId="0" xfId="2" applyNumberFormat="1"/>
    <xf numFmtId="0" fontId="1" fillId="0" borderId="0" xfId="2" applyAlignment="1">
      <alignment shrinkToFit="1"/>
    </xf>
    <xf numFmtId="0" fontId="1" fillId="0" borderId="0" xfId="2"/>
    <xf numFmtId="0" fontId="1" fillId="2" borderId="10" xfId="2" applyFill="1" applyBorder="1" applyAlignment="1" applyProtection="1">
      <alignment horizontal="center"/>
      <protection locked="0"/>
    </xf>
    <xf numFmtId="178" fontId="1" fillId="2" borderId="41" xfId="2" applyNumberFormat="1" applyFill="1" applyBorder="1" applyAlignment="1">
      <alignment vertical="top"/>
    </xf>
    <xf numFmtId="178" fontId="1" fillId="2" borderId="34" xfId="2" applyNumberFormat="1" applyFill="1" applyBorder="1"/>
    <xf numFmtId="178" fontId="1" fillId="2" borderId="0" xfId="2" applyNumberFormat="1" applyFill="1"/>
    <xf numFmtId="0" fontId="1" fillId="2" borderId="0" xfId="2" applyFill="1" applyAlignment="1" applyProtection="1">
      <alignment horizontal="center"/>
      <protection locked="0"/>
    </xf>
    <xf numFmtId="0" fontId="1" fillId="2" borderId="0" xfId="2" applyFill="1" applyAlignment="1">
      <alignment horizontal="center"/>
    </xf>
    <xf numFmtId="178" fontId="1" fillId="2" borderId="41" xfId="2" applyNumberFormat="1" applyFill="1" applyBorder="1"/>
    <xf numFmtId="0" fontId="1" fillId="2" borderId="51" xfId="2" applyFill="1" applyBorder="1" applyAlignment="1">
      <alignment shrinkToFit="1"/>
    </xf>
    <xf numFmtId="0" fontId="1" fillId="2" borderId="34" xfId="2" applyFill="1" applyBorder="1" applyAlignment="1">
      <alignment shrinkToFit="1"/>
    </xf>
    <xf numFmtId="178" fontId="25" fillId="0" borderId="0" xfId="2" applyNumberFormat="1" applyFont="1"/>
    <xf numFmtId="0" fontId="4" fillId="0" borderId="0" xfId="2" applyFont="1"/>
    <xf numFmtId="178" fontId="1" fillId="2" borderId="35" xfId="2" applyNumberFormat="1" applyFill="1" applyBorder="1"/>
    <xf numFmtId="0" fontId="1" fillId="2" borderId="35" xfId="2" applyFill="1" applyBorder="1" applyAlignment="1">
      <alignment shrinkToFit="1"/>
    </xf>
    <xf numFmtId="0" fontId="1" fillId="2" borderId="28" xfId="2" applyFill="1" applyBorder="1" applyAlignment="1" applyProtection="1">
      <alignment horizontal="center"/>
      <protection locked="0"/>
    </xf>
    <xf numFmtId="178" fontId="1" fillId="2" borderId="12" xfId="2" applyNumberFormat="1" applyFill="1" applyBorder="1"/>
    <xf numFmtId="0" fontId="1" fillId="2" borderId="12" xfId="2" applyFill="1" applyBorder="1" applyAlignment="1">
      <alignment shrinkToFit="1"/>
    </xf>
    <xf numFmtId="0" fontId="1" fillId="2" borderId="12" xfId="2" applyFill="1" applyBorder="1"/>
    <xf numFmtId="0" fontId="1" fillId="2" borderId="12" xfId="2" applyFill="1" applyBorder="1" applyAlignment="1">
      <alignment horizontal="right"/>
    </xf>
    <xf numFmtId="178" fontId="7" fillId="3" borderId="12" xfId="2" applyNumberFormat="1" applyFont="1" applyFill="1" applyBorder="1" applyAlignment="1" applyProtection="1">
      <alignment horizontal="left" shrinkToFit="1"/>
      <protection locked="0"/>
    </xf>
    <xf numFmtId="0" fontId="7" fillId="2" borderId="51" xfId="2" applyFont="1" applyFill="1" applyBorder="1" applyAlignment="1">
      <alignment shrinkToFit="1"/>
    </xf>
    <xf numFmtId="178" fontId="1" fillId="2" borderId="40" xfId="2" applyNumberFormat="1" applyFill="1" applyBorder="1"/>
    <xf numFmtId="0" fontId="7" fillId="2" borderId="40" xfId="2" applyFont="1" applyFill="1" applyBorder="1" applyAlignment="1">
      <alignment shrinkToFit="1"/>
    </xf>
    <xf numFmtId="178" fontId="1" fillId="2" borderId="9" xfId="2" applyNumberFormat="1" applyFill="1" applyBorder="1"/>
    <xf numFmtId="0" fontId="0" fillId="2" borderId="9" xfId="2" applyFont="1" applyFill="1" applyBorder="1" applyAlignment="1">
      <alignment shrinkToFit="1"/>
    </xf>
    <xf numFmtId="0" fontId="1" fillId="2" borderId="9" xfId="2" applyFill="1" applyBorder="1"/>
    <xf numFmtId="0" fontId="1" fillId="2" borderId="9" xfId="2" applyFill="1" applyBorder="1" applyAlignment="1" applyProtection="1">
      <alignment horizontal="center"/>
      <protection locked="0"/>
    </xf>
    <xf numFmtId="178" fontId="1" fillId="0" borderId="9" xfId="2" applyNumberFormat="1" applyBorder="1"/>
    <xf numFmtId="0" fontId="1" fillId="0" borderId="9" xfId="2" applyBorder="1" applyAlignment="1">
      <alignment shrinkToFit="1"/>
    </xf>
    <xf numFmtId="0" fontId="1" fillId="0" borderId="9" xfId="2" applyBorder="1"/>
    <xf numFmtId="0" fontId="0" fillId="2" borderId="0" xfId="2" applyFont="1" applyFill="1" applyAlignment="1">
      <alignment shrinkToFit="1"/>
    </xf>
    <xf numFmtId="0" fontId="4" fillId="2" borderId="0" xfId="2" applyFont="1" applyFill="1"/>
    <xf numFmtId="178" fontId="1" fillId="2" borderId="42" xfId="2" applyNumberFormat="1" applyFill="1" applyBorder="1"/>
    <xf numFmtId="0" fontId="1" fillId="2" borderId="18" xfId="2" applyFill="1" applyBorder="1" applyAlignment="1">
      <alignment shrinkToFit="1"/>
    </xf>
    <xf numFmtId="178" fontId="1" fillId="2" borderId="39" xfId="2" applyNumberFormat="1" applyFill="1" applyBorder="1" applyAlignment="1">
      <alignment vertical="top"/>
    </xf>
    <xf numFmtId="0" fontId="7" fillId="2" borderId="29" xfId="2" applyFont="1" applyFill="1" applyBorder="1" applyAlignment="1">
      <alignment vertical="top" shrinkToFit="1"/>
    </xf>
    <xf numFmtId="0" fontId="1" fillId="2" borderId="9" xfId="2" applyFill="1" applyBorder="1" applyAlignment="1">
      <alignment shrinkToFit="1"/>
    </xf>
    <xf numFmtId="0" fontId="0" fillId="0" borderId="0" xfId="2" applyFont="1" applyAlignment="1">
      <alignment shrinkToFit="1"/>
    </xf>
    <xf numFmtId="178" fontId="7" fillId="3" borderId="12" xfId="2" applyNumberFormat="1" applyFont="1" applyFill="1" applyBorder="1" applyAlignment="1" applyProtection="1">
      <alignment horizontal="left"/>
      <protection locked="0"/>
    </xf>
    <xf numFmtId="0" fontId="7" fillId="2" borderId="40" xfId="2" applyFont="1" applyFill="1" applyBorder="1" applyAlignment="1">
      <alignment vertical="top" wrapText="1" shrinkToFit="1"/>
    </xf>
    <xf numFmtId="0" fontId="1" fillId="2" borderId="22" xfId="2" applyFill="1" applyBorder="1" applyAlignment="1">
      <alignment horizontal="center"/>
    </xf>
    <xf numFmtId="0" fontId="0" fillId="2" borderId="12" xfId="2" applyFont="1" applyFill="1" applyBorder="1" applyAlignment="1">
      <alignment shrinkToFit="1"/>
    </xf>
    <xf numFmtId="0" fontId="4" fillId="2" borderId="22" xfId="2" applyFont="1" applyFill="1" applyBorder="1"/>
    <xf numFmtId="0" fontId="4" fillId="0" borderId="9" xfId="2" applyFont="1" applyBorder="1"/>
    <xf numFmtId="0" fontId="0" fillId="0" borderId="0" xfId="2" applyFont="1" applyAlignment="1">
      <alignment shrinkToFit="1"/>
    </xf>
    <xf numFmtId="0" fontId="0" fillId="0" borderId="0" xfId="0" applyAlignment="1"/>
    <xf numFmtId="178" fontId="1" fillId="2" borderId="43" xfId="2" applyNumberFormat="1" applyFill="1" applyBorder="1"/>
    <xf numFmtId="0" fontId="1" fillId="2" borderId="25" xfId="2" applyFill="1" applyBorder="1" applyAlignment="1">
      <alignment shrinkToFit="1"/>
    </xf>
    <xf numFmtId="178" fontId="1" fillId="2" borderId="44" xfId="2" applyNumberFormat="1" applyFill="1" applyBorder="1"/>
    <xf numFmtId="0" fontId="1" fillId="2" borderId="44" xfId="2" applyFill="1" applyBorder="1" applyAlignment="1">
      <alignment shrinkToFit="1"/>
    </xf>
    <xf numFmtId="0" fontId="1" fillId="2" borderId="24" xfId="2" applyFill="1" applyBorder="1" applyAlignment="1" applyProtection="1">
      <alignment horizontal="center"/>
      <protection locked="0"/>
    </xf>
    <xf numFmtId="178" fontId="1" fillId="2" borderId="13" xfId="2" applyNumberFormat="1" applyFill="1" applyBorder="1"/>
    <xf numFmtId="0" fontId="1" fillId="2" borderId="13" xfId="2" applyFill="1" applyBorder="1" applyAlignment="1">
      <alignment shrinkToFit="1"/>
    </xf>
    <xf numFmtId="0" fontId="1" fillId="2" borderId="13" xfId="2" applyFill="1" applyBorder="1"/>
    <xf numFmtId="0" fontId="1" fillId="2" borderId="13" xfId="2" applyFill="1" applyBorder="1" applyAlignment="1">
      <alignment horizontal="right"/>
    </xf>
    <xf numFmtId="178" fontId="7" fillId="3" borderId="13" xfId="2" applyNumberFormat="1" applyFont="1" applyFill="1" applyBorder="1" applyAlignment="1" applyProtection="1">
      <alignment horizontal="left" shrinkToFit="1"/>
      <protection locked="0"/>
    </xf>
    <xf numFmtId="0" fontId="0" fillId="0" borderId="9" xfId="2" applyFont="1" applyBorder="1" applyAlignment="1">
      <alignment shrinkToFit="1"/>
    </xf>
    <xf numFmtId="0" fontId="15" fillId="2" borderId="40" xfId="2" applyFont="1" applyFill="1" applyBorder="1" applyAlignment="1">
      <alignment vertical="top" wrapText="1" shrinkToFit="1"/>
    </xf>
    <xf numFmtId="0" fontId="15" fillId="2" borderId="34" xfId="2" applyFont="1" applyFill="1" applyBorder="1" applyAlignment="1">
      <alignment vertical="top" wrapText="1" shrinkToFit="1"/>
    </xf>
    <xf numFmtId="0" fontId="7" fillId="2" borderId="40" xfId="2" applyFont="1" applyFill="1" applyBorder="1" applyAlignment="1">
      <alignment horizontal="left" vertical="top" wrapText="1" shrinkToFit="1"/>
    </xf>
    <xf numFmtId="0" fontId="7" fillId="2" borderId="34" xfId="2" applyFont="1" applyFill="1" applyBorder="1" applyAlignment="1">
      <alignment horizontal="left" vertical="top" wrapText="1" shrinkToFit="1"/>
    </xf>
    <xf numFmtId="0" fontId="1" fillId="2" borderId="27" xfId="2" applyFill="1" applyBorder="1" applyAlignment="1" applyProtection="1">
      <alignment horizontal="center"/>
      <protection locked="0"/>
    </xf>
    <xf numFmtId="0" fontId="7" fillId="2" borderId="51" xfId="2" applyFont="1" applyFill="1" applyBorder="1" applyAlignment="1" applyProtection="1">
      <alignment vertical="top" shrinkToFit="1"/>
    </xf>
    <xf numFmtId="0" fontId="5" fillId="2" borderId="24" xfId="3" applyFont="1" applyFill="1" applyBorder="1" applyAlignment="1">
      <alignment horizontal="left" vertical="top" wrapText="1" shrinkToFit="1"/>
    </xf>
    <xf numFmtId="0" fontId="5" fillId="2" borderId="13" xfId="3" applyFont="1" applyFill="1" applyBorder="1" applyAlignment="1">
      <alignment horizontal="left" vertical="top" wrapText="1" shrinkToFit="1"/>
    </xf>
    <xf numFmtId="0" fontId="5" fillId="2" borderId="25" xfId="3" applyFont="1" applyFill="1" applyBorder="1" applyAlignment="1">
      <alignment horizontal="left" vertical="top" wrapText="1" shrinkToFit="1"/>
    </xf>
    <xf numFmtId="0" fontId="1" fillId="2" borderId="81" xfId="3" applyFill="1" applyBorder="1" applyAlignment="1">
      <alignment horizontal="left" vertical="center"/>
    </xf>
    <xf numFmtId="0" fontId="1" fillId="2" borderId="82" xfId="3" applyFill="1" applyBorder="1" applyAlignment="1">
      <alignment horizontal="left" vertical="center"/>
    </xf>
    <xf numFmtId="0" fontId="1" fillId="2" borderId="83" xfId="3" applyFill="1" applyBorder="1" applyAlignment="1">
      <alignment horizontal="left" vertical="center"/>
    </xf>
  </cellXfs>
  <cellStyles count="4">
    <cellStyle name="桁区切り" xfId="1" builtinId="6"/>
    <cellStyle name="標準" xfId="0" builtinId="0"/>
    <cellStyle name="標準 2" xfId="3" xr:uid="{00000000-0005-0000-0000-000002000000}"/>
    <cellStyle name="標準_分類品目表(kai) 2" xfId="2" xr:uid="{00000000-0005-0000-0000-000004000000}"/>
  </cellStyles>
  <dxfs count="223">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theme="0"/>
        </patternFill>
      </fill>
    </dxf>
    <dxf>
      <fill>
        <patternFill>
          <bgColor theme="0"/>
        </patternFill>
      </fill>
    </dxf>
    <dxf>
      <fill>
        <patternFill>
          <bgColor theme="0"/>
        </patternFill>
      </fill>
    </dxf>
    <dxf>
      <font>
        <strike/>
        <condense val="0"/>
        <extend val="0"/>
      </font>
    </dxf>
    <dxf>
      <font>
        <b/>
        <i val="0"/>
        <condense val="0"/>
        <extend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strike/>
        <condense val="0"/>
        <extend val="0"/>
      </font>
    </dxf>
    <dxf>
      <font>
        <strike/>
        <condense val="0"/>
        <extend val="0"/>
      </font>
    </dxf>
    <dxf>
      <font>
        <strike/>
        <condense val="0"/>
        <extend val="0"/>
      </font>
    </dxf>
    <dxf>
      <fill>
        <patternFill>
          <bgColor indexed="10"/>
        </patternFill>
      </fill>
    </dxf>
    <dxf>
      <fill>
        <patternFill>
          <bgColor theme="0"/>
        </patternFill>
      </fill>
    </dxf>
    <dxf>
      <fill>
        <patternFill>
          <bgColor indexed="9"/>
        </patternFill>
      </fill>
    </dxf>
    <dxf>
      <fill>
        <patternFill>
          <bgColor theme="0"/>
        </patternFill>
      </fill>
    </dxf>
    <dxf>
      <fill>
        <patternFill>
          <bgColor theme="0"/>
        </patternFill>
      </fill>
    </dxf>
    <dxf>
      <fill>
        <patternFill>
          <bgColor theme="0"/>
        </patternFill>
      </fill>
    </dxf>
    <dxf>
      <font>
        <b/>
        <i val="0"/>
        <condense val="0"/>
        <extend val="0"/>
      </font>
    </dxf>
    <dxf>
      <font>
        <b val="0"/>
        <i val="0"/>
        <strike/>
        <condense val="0"/>
        <extend val="0"/>
      </font>
    </dxf>
    <dxf>
      <fill>
        <patternFill>
          <bgColor indexed="10"/>
        </patternFill>
      </fill>
    </dxf>
    <dxf>
      <fill>
        <patternFill>
          <bgColor theme="0"/>
        </patternFill>
      </fill>
    </dxf>
    <dxf>
      <fill>
        <patternFill>
          <bgColor theme="0"/>
        </patternFill>
      </fill>
    </dxf>
    <dxf>
      <fill>
        <patternFill>
          <bgColor theme="0"/>
        </patternFill>
      </fill>
    </dxf>
    <dxf>
      <font>
        <condense val="0"/>
        <extend val="0"/>
        <color indexed="10"/>
      </font>
      <fill>
        <patternFill patternType="none">
          <bgColor indexed="65"/>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condense val="0"/>
        <extend val="0"/>
        <color auto="1"/>
      </font>
      <fill>
        <patternFill>
          <bgColor indexed="9"/>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RPA&#29992;&#65289;&#26412;&#30058;&#29872;&#22659;%20&#25968;&#24335;&#20462;&#27491;&#20013;&#652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１号様式　別紙１"/>
      <sheetName val="第１号様式  別紙２"/>
      <sheetName val="第１号様式 別紙３"/>
      <sheetName val="第１号様式　別紙５"/>
      <sheetName val="第１号様式　別紙６"/>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0"/>
  <sheetViews>
    <sheetView showGridLines="0" showZeros="0" view="pageBreakPreview" zoomScaleNormal="100" zoomScaleSheetLayoutView="100" workbookViewId="0">
      <selection activeCell="AN19" sqref="AN19"/>
    </sheetView>
  </sheetViews>
  <sheetFormatPr defaultColWidth="2.875" defaultRowHeight="13.5"/>
  <cols>
    <col min="1" max="3" width="2.875" style="2" customWidth="1"/>
    <col min="4" max="4" width="5.125" style="2" customWidth="1"/>
    <col min="5" max="28" width="2.875" style="2" customWidth="1"/>
    <col min="29" max="29" width="2.5" style="2" customWidth="1"/>
    <col min="30" max="30" width="1.75" style="2" customWidth="1"/>
    <col min="31" max="31" width="8.875" style="162" customWidth="1"/>
    <col min="32" max="32" width="2.375" style="2" customWidth="1"/>
    <col min="33" max="33" width="5.125" style="2" customWidth="1"/>
    <col min="34" max="34" width="9.125" style="30" hidden="1" customWidth="1"/>
    <col min="35" max="35" width="19.375" style="2" hidden="1" customWidth="1"/>
    <col min="36" max="36" width="7.25" style="2" hidden="1" customWidth="1"/>
    <col min="37" max="37" width="35" style="2" hidden="1" customWidth="1"/>
    <col min="38" max="38" width="4" style="2" hidden="1" customWidth="1"/>
    <col min="39" max="39" width="2.5" style="2" hidden="1" customWidth="1"/>
    <col min="40" max="40" width="4.25" style="2" customWidth="1"/>
    <col min="41" max="61" width="8.875" style="2" customWidth="1"/>
    <col min="62" max="16384" width="2.875" style="2"/>
  </cols>
  <sheetData>
    <row r="1" spans="1:35" ht="9" customHeight="1">
      <c r="A1" s="332" t="s">
        <v>170</v>
      </c>
      <c r="B1" s="332"/>
      <c r="C1" s="332"/>
      <c r="D1" s="332"/>
      <c r="M1"/>
      <c r="N1"/>
      <c r="O1"/>
      <c r="P1"/>
      <c r="Q1"/>
      <c r="R1"/>
      <c r="S1"/>
      <c r="T1"/>
      <c r="U1"/>
      <c r="V1"/>
      <c r="W1"/>
      <c r="X1"/>
      <c r="Y1"/>
      <c r="Z1"/>
      <c r="AA1"/>
      <c r="AB1"/>
      <c r="AC1"/>
      <c r="AE1" s="161"/>
      <c r="AH1" s="30" t="s">
        <v>553</v>
      </c>
    </row>
    <row r="2" spans="1:35" ht="9" customHeight="1">
      <c r="A2" s="332"/>
      <c r="B2" s="332"/>
      <c r="C2" s="332"/>
      <c r="D2" s="332"/>
      <c r="M2"/>
      <c r="N2"/>
      <c r="O2"/>
      <c r="P2"/>
      <c r="Q2"/>
      <c r="R2"/>
      <c r="S2"/>
      <c r="T2"/>
      <c r="U2"/>
      <c r="V2"/>
      <c r="W2"/>
      <c r="X2"/>
      <c r="Y2"/>
      <c r="Z2"/>
      <c r="AA2"/>
      <c r="AB2"/>
      <c r="AC2"/>
      <c r="AH2" s="30" t="s">
        <v>554</v>
      </c>
    </row>
    <row r="3" spans="1:35" ht="11.25" customHeight="1">
      <c r="B3"/>
      <c r="C3"/>
      <c r="D3"/>
      <c r="E3"/>
      <c r="F3"/>
      <c r="G3"/>
      <c r="M3"/>
      <c r="N3"/>
      <c r="O3"/>
      <c r="P3"/>
      <c r="Q3"/>
      <c r="R3"/>
      <c r="S3"/>
      <c r="T3"/>
      <c r="U3"/>
      <c r="V3"/>
      <c r="W3"/>
      <c r="X3"/>
      <c r="Y3"/>
      <c r="Z3"/>
      <c r="AA3"/>
      <c r="AB3"/>
      <c r="AC3"/>
      <c r="AD3" s="3"/>
      <c r="AH3" s="2" t="s">
        <v>158</v>
      </c>
      <c r="AI3" s="2" t="s">
        <v>157</v>
      </c>
    </row>
    <row r="4" spans="1:35" ht="11.25" customHeight="1">
      <c r="A4" s="1"/>
      <c r="B4"/>
      <c r="C4"/>
      <c r="D4"/>
      <c r="E4"/>
      <c r="F4"/>
      <c r="G4"/>
      <c r="AD4" s="3"/>
      <c r="AH4" s="30" t="s">
        <v>100</v>
      </c>
      <c r="AI4" s="2" t="s">
        <v>99</v>
      </c>
    </row>
    <row r="5" spans="1:35" ht="13.5" customHeight="1">
      <c r="A5" s="331" t="s">
        <v>779</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H5" s="30" t="s">
        <v>102</v>
      </c>
      <c r="AI5" s="2" t="s">
        <v>101</v>
      </c>
    </row>
    <row r="6" spans="1:35" ht="13.5" customHeight="1" thickBot="1">
      <c r="A6" s="331"/>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62"/>
      <c r="AE6" s="161" t="s">
        <v>613</v>
      </c>
      <c r="AH6" s="30" t="s">
        <v>104</v>
      </c>
      <c r="AI6" s="2" t="s">
        <v>103</v>
      </c>
    </row>
    <row r="7" spans="1:35" ht="18.95" customHeight="1" thickBot="1">
      <c r="A7" s="62"/>
      <c r="B7" s="62"/>
      <c r="C7" s="62"/>
      <c r="D7" s="62"/>
      <c r="E7" s="62"/>
      <c r="F7" s="62"/>
      <c r="G7" s="62"/>
      <c r="H7" s="62"/>
      <c r="I7" s="62"/>
      <c r="J7" s="62"/>
      <c r="K7" s="62"/>
      <c r="L7" s="62"/>
      <c r="M7" s="62"/>
      <c r="N7" s="62"/>
      <c r="O7" s="62"/>
      <c r="P7" s="62"/>
      <c r="Q7" s="62"/>
      <c r="R7" s="336" t="s">
        <v>556</v>
      </c>
      <c r="S7" s="337"/>
      <c r="T7" s="337"/>
      <c r="U7" s="337"/>
      <c r="V7" s="338" t="s">
        <v>588</v>
      </c>
      <c r="W7" s="339"/>
      <c r="X7" s="38"/>
      <c r="Y7" s="31" t="s">
        <v>589</v>
      </c>
      <c r="Z7" s="27"/>
      <c r="AA7" s="32" t="s">
        <v>590</v>
      </c>
      <c r="AB7" s="27"/>
      <c r="AC7" s="33" t="s">
        <v>591</v>
      </c>
      <c r="AD7" s="4"/>
      <c r="AE7" s="161" t="str">
        <f>IF(X7="","","R"&amp;TEXT((DATE(X7,Z7,AB7)),"yymmdd"))</f>
        <v/>
      </c>
      <c r="AH7" s="30" t="s">
        <v>106</v>
      </c>
      <c r="AI7" s="2" t="s">
        <v>105</v>
      </c>
    </row>
    <row r="8" spans="1:35">
      <c r="B8" s="190" t="s">
        <v>698</v>
      </c>
      <c r="C8" s="4"/>
      <c r="D8" s="4"/>
      <c r="E8" s="4"/>
      <c r="AH8" s="30" t="s">
        <v>108</v>
      </c>
      <c r="AI8" s="2" t="s">
        <v>107</v>
      </c>
    </row>
    <row r="9" spans="1:35" ht="7.5" customHeight="1">
      <c r="A9" s="1"/>
      <c r="AH9" s="30" t="s">
        <v>110</v>
      </c>
      <c r="AI9" s="2" t="s">
        <v>109</v>
      </c>
    </row>
    <row r="10" spans="1:35">
      <c r="A10" s="333" t="s">
        <v>784</v>
      </c>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63"/>
      <c r="AH10" s="30" t="s">
        <v>112</v>
      </c>
      <c r="AI10" s="2" t="s">
        <v>111</v>
      </c>
    </row>
    <row r="11" spans="1:35">
      <c r="A11" s="334"/>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63"/>
      <c r="AH11" s="30" t="s">
        <v>114</v>
      </c>
      <c r="AI11" s="2" t="s">
        <v>113</v>
      </c>
    </row>
    <row r="12" spans="1:35">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63"/>
      <c r="AH12" s="30" t="s">
        <v>116</v>
      </c>
      <c r="AI12" s="2" t="s">
        <v>115</v>
      </c>
    </row>
    <row r="13" spans="1:35">
      <c r="A13" s="335"/>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64"/>
      <c r="AH13" s="30" t="s">
        <v>118</v>
      </c>
      <c r="AI13" s="2" t="s">
        <v>117</v>
      </c>
    </row>
    <row r="14" spans="1:35" ht="6" customHeight="1">
      <c r="AH14" s="30" t="s">
        <v>120</v>
      </c>
      <c r="AI14" s="2" t="s">
        <v>119</v>
      </c>
    </row>
    <row r="15" spans="1:35" ht="6" customHeight="1">
      <c r="A15" s="1"/>
      <c r="AG15" s="34"/>
      <c r="AH15" s="30" t="s">
        <v>122</v>
      </c>
      <c r="AI15" s="2" t="s">
        <v>121</v>
      </c>
    </row>
    <row r="16" spans="1:35" ht="14.25" thickBot="1">
      <c r="A16" s="1"/>
      <c r="B16" s="39" t="s">
        <v>598</v>
      </c>
      <c r="C16" s="2" t="s">
        <v>32</v>
      </c>
      <c r="F16" s="324"/>
      <c r="G16" s="324"/>
      <c r="K16"/>
      <c r="L16"/>
      <c r="M16"/>
      <c r="N16"/>
      <c r="O16"/>
      <c r="P16"/>
      <c r="Q16"/>
      <c r="R16"/>
      <c r="S16"/>
      <c r="T16"/>
      <c r="U16"/>
      <c r="Y16" s="325"/>
      <c r="Z16" s="325"/>
      <c r="AA16" s="325"/>
      <c r="AB16" s="325"/>
      <c r="AC16" s="325"/>
      <c r="AG16" s="34"/>
      <c r="AH16" s="30" t="s">
        <v>36</v>
      </c>
      <c r="AI16" s="2" t="s">
        <v>123</v>
      </c>
    </row>
    <row r="17" spans="1:35" ht="25.15" customHeight="1" thickBot="1">
      <c r="A17" s="1"/>
      <c r="B17" s="64"/>
      <c r="C17" s="326"/>
      <c r="D17" s="327"/>
      <c r="E17" s="328"/>
      <c r="F17" s="329"/>
      <c r="G17" s="330"/>
      <c r="H17" s="330"/>
      <c r="I17" s="330"/>
      <c r="J17" s="330"/>
      <c r="K17" s="191"/>
      <c r="L17"/>
      <c r="M17"/>
      <c r="N17"/>
      <c r="O17"/>
      <c r="P17"/>
      <c r="Q17"/>
      <c r="R17"/>
      <c r="S17"/>
      <c r="T17"/>
      <c r="U17"/>
      <c r="V17" s="35"/>
      <c r="W17" s="35"/>
      <c r="X17" s="35"/>
      <c r="Y17" s="325"/>
      <c r="Z17" s="325"/>
      <c r="AA17" s="325"/>
      <c r="AB17" s="325"/>
      <c r="AC17" s="325"/>
      <c r="AG17" s="34"/>
      <c r="AH17" s="30" t="s">
        <v>125</v>
      </c>
      <c r="AI17" s="2" t="s">
        <v>124</v>
      </c>
    </row>
    <row r="18" spans="1:35" ht="5.85" customHeight="1">
      <c r="A18" s="1"/>
      <c r="B18" s="64"/>
      <c r="Y18" s="26"/>
      <c r="Z18" s="26"/>
      <c r="AA18" s="26"/>
      <c r="AB18" s="26"/>
      <c r="AC18" s="26"/>
      <c r="AG18" s="34"/>
      <c r="AH18" s="30" t="s">
        <v>127</v>
      </c>
      <c r="AI18" s="2" t="s">
        <v>126</v>
      </c>
    </row>
    <row r="19" spans="1:35" ht="14.25" thickBot="1">
      <c r="B19" s="39" t="s">
        <v>599</v>
      </c>
      <c r="C19" s="2" t="s">
        <v>31</v>
      </c>
      <c r="D19" s="4"/>
      <c r="E19" s="4"/>
      <c r="F19" s="4"/>
      <c r="G19" s="4"/>
      <c r="H19" s="4"/>
      <c r="I19" s="63"/>
      <c r="J19" s="4"/>
      <c r="K19" s="4"/>
      <c r="L19" s="4"/>
      <c r="M19" s="4"/>
      <c r="N19" s="63"/>
      <c r="O19" s="63"/>
      <c r="P19" s="63"/>
      <c r="Q19" s="63"/>
      <c r="R19" s="63"/>
      <c r="S19" s="63"/>
      <c r="T19" s="63"/>
      <c r="U19" s="63"/>
      <c r="V19" s="63"/>
      <c r="W19" s="63"/>
      <c r="X19" s="63"/>
      <c r="Y19" s="63"/>
      <c r="Z19" s="63"/>
      <c r="AH19" s="30" t="s">
        <v>129</v>
      </c>
      <c r="AI19" s="2" t="s">
        <v>128</v>
      </c>
    </row>
    <row r="20" spans="1:35" ht="13.5" customHeight="1">
      <c r="C20" s="340" t="s">
        <v>14</v>
      </c>
      <c r="D20" s="341"/>
      <c r="E20" s="341"/>
      <c r="F20" s="341"/>
      <c r="G20" s="342"/>
      <c r="H20" s="343"/>
      <c r="I20" s="344"/>
      <c r="J20" s="344"/>
      <c r="K20" s="344"/>
      <c r="L20" s="344"/>
      <c r="M20" s="344"/>
      <c r="N20" s="344"/>
      <c r="O20" s="344"/>
      <c r="P20" s="344"/>
      <c r="Q20" s="344"/>
      <c r="R20" s="344"/>
      <c r="S20" s="344"/>
      <c r="T20" s="344"/>
      <c r="U20" s="344"/>
      <c r="V20" s="344"/>
      <c r="W20" s="344"/>
      <c r="X20" s="344"/>
      <c r="Y20" s="344"/>
      <c r="Z20" s="344"/>
      <c r="AA20" s="344"/>
      <c r="AB20" s="344"/>
      <c r="AC20" s="345"/>
      <c r="AD20" s="5"/>
      <c r="AH20" s="30" t="s">
        <v>131</v>
      </c>
      <c r="AI20" s="2" t="s">
        <v>130</v>
      </c>
    </row>
    <row r="21" spans="1:35" ht="24" customHeight="1">
      <c r="C21" s="349" t="s">
        <v>64</v>
      </c>
      <c r="D21" s="350"/>
      <c r="E21" s="350"/>
      <c r="F21" s="350"/>
      <c r="G21" s="351"/>
      <c r="H21" s="365"/>
      <c r="I21" s="366"/>
      <c r="J21" s="366"/>
      <c r="K21" s="366"/>
      <c r="L21" s="366"/>
      <c r="M21" s="366"/>
      <c r="N21" s="366"/>
      <c r="O21" s="366"/>
      <c r="P21" s="366"/>
      <c r="Q21" s="366"/>
      <c r="R21" s="366"/>
      <c r="S21" s="366"/>
      <c r="T21" s="366"/>
      <c r="U21" s="366"/>
      <c r="V21" s="366"/>
      <c r="W21" s="366"/>
      <c r="X21" s="366"/>
      <c r="Y21" s="366"/>
      <c r="Z21" s="366"/>
      <c r="AA21" s="366"/>
      <c r="AB21" s="366"/>
      <c r="AC21" s="367"/>
      <c r="AD21" s="5"/>
      <c r="AH21" s="2" t="s">
        <v>35</v>
      </c>
      <c r="AI21" s="2" t="s">
        <v>132</v>
      </c>
    </row>
    <row r="22" spans="1:35" ht="30" customHeight="1">
      <c r="C22" s="368" t="s">
        <v>66</v>
      </c>
      <c r="D22" s="369"/>
      <c r="E22" s="369"/>
      <c r="F22" s="369"/>
      <c r="G22" s="370"/>
      <c r="H22" s="371" t="s">
        <v>65</v>
      </c>
      <c r="I22" s="370"/>
      <c r="J22" s="365"/>
      <c r="K22" s="366"/>
      <c r="L22" s="366"/>
      <c r="M22" s="366"/>
      <c r="N22" s="366"/>
      <c r="O22" s="378"/>
      <c r="P22" s="379" t="s">
        <v>175</v>
      </c>
      <c r="Q22" s="380"/>
      <c r="R22" s="365"/>
      <c r="S22" s="366"/>
      <c r="T22" s="366"/>
      <c r="U22" s="366"/>
      <c r="V22" s="366"/>
      <c r="W22" s="366"/>
      <c r="X22" s="366"/>
      <c r="Y22" s="366"/>
      <c r="Z22" s="366"/>
      <c r="AA22" s="366"/>
      <c r="AB22" s="366"/>
      <c r="AC22" s="367"/>
      <c r="AD22" s="5"/>
      <c r="AH22" s="2" t="s">
        <v>134</v>
      </c>
      <c r="AI22" s="2" t="s">
        <v>133</v>
      </c>
    </row>
    <row r="23" spans="1:35" ht="30" customHeight="1" thickBot="1">
      <c r="C23" s="381" t="s">
        <v>507</v>
      </c>
      <c r="D23" s="382"/>
      <c r="E23" s="382"/>
      <c r="F23" s="382"/>
      <c r="G23" s="382"/>
      <c r="H23" s="375"/>
      <c r="I23" s="376"/>
      <c r="J23" s="376"/>
      <c r="K23" s="376"/>
      <c r="L23" s="376"/>
      <c r="M23" s="376"/>
      <c r="N23" s="376"/>
      <c r="O23" s="376"/>
      <c r="P23" s="376"/>
      <c r="Q23" s="376"/>
      <c r="R23" s="376"/>
      <c r="S23" s="377"/>
      <c r="T23" s="372" t="s">
        <v>697</v>
      </c>
      <c r="U23" s="373"/>
      <c r="V23" s="373"/>
      <c r="W23" s="373"/>
      <c r="X23" s="373"/>
      <c r="Y23" s="373"/>
      <c r="Z23" s="373"/>
      <c r="AA23" s="373"/>
      <c r="AB23" s="373"/>
      <c r="AC23" s="374"/>
      <c r="AD23" s="5"/>
      <c r="AH23" s="2" t="s">
        <v>136</v>
      </c>
      <c r="AI23" s="2" t="s">
        <v>135</v>
      </c>
    </row>
    <row r="24" spans="1:35" ht="18" customHeight="1" thickBot="1">
      <c r="A24" s="1"/>
      <c r="B24" s="39" t="s">
        <v>600</v>
      </c>
      <c r="C24" s="2" t="s">
        <v>475</v>
      </c>
      <c r="Y24" s="68"/>
      <c r="Z24" s="68"/>
      <c r="AA24" s="68"/>
      <c r="AB24" s="68"/>
      <c r="AC24" s="173"/>
      <c r="AD24" s="174"/>
      <c r="AH24" s="2" t="s">
        <v>138</v>
      </c>
      <c r="AI24" s="2" t="s">
        <v>137</v>
      </c>
    </row>
    <row r="25" spans="1:35" ht="18" customHeight="1">
      <c r="B25" s="64"/>
      <c r="C25" s="362" t="s">
        <v>174</v>
      </c>
      <c r="D25" s="363"/>
      <c r="E25" s="364"/>
      <c r="F25" s="423"/>
      <c r="G25" s="424"/>
      <c r="H25" s="424"/>
      <c r="I25" s="424"/>
      <c r="J25" s="424"/>
      <c r="K25" s="424"/>
      <c r="L25" s="424"/>
      <c r="M25" s="425"/>
      <c r="N25" s="415" t="s">
        <v>596</v>
      </c>
      <c r="O25" s="416"/>
      <c r="P25" s="416"/>
      <c r="Q25" s="416"/>
      <c r="R25" s="416"/>
      <c r="S25" s="417"/>
      <c r="T25" s="413"/>
      <c r="U25" s="414"/>
      <c r="V25" s="414"/>
      <c r="W25" s="414"/>
      <c r="X25" s="414"/>
      <c r="Y25" s="40"/>
      <c r="Z25" s="411" t="str">
        <f>IF(T25="","",VLOOKUP(T25,AH3:AI33,2,FALSE))</f>
        <v/>
      </c>
      <c r="AA25" s="411"/>
      <c r="AB25" s="411"/>
      <c r="AC25" s="412"/>
      <c r="AD25" s="5"/>
      <c r="AH25" s="2" t="s">
        <v>140</v>
      </c>
      <c r="AI25" s="2" t="s">
        <v>139</v>
      </c>
    </row>
    <row r="26" spans="1:35">
      <c r="B26" s="64"/>
      <c r="C26" s="346" t="s">
        <v>13</v>
      </c>
      <c r="D26" s="347"/>
      <c r="E26" s="348"/>
      <c r="F26" s="352" t="s">
        <v>552</v>
      </c>
      <c r="G26" s="353"/>
      <c r="H26" s="353"/>
      <c r="I26" s="354"/>
      <c r="J26" s="355" t="s">
        <v>557</v>
      </c>
      <c r="K26" s="355"/>
      <c r="L26" s="355"/>
      <c r="M26" s="355"/>
      <c r="N26" s="355"/>
      <c r="O26" s="355"/>
      <c r="P26" s="355"/>
      <c r="Q26" s="355"/>
      <c r="R26" s="355"/>
      <c r="S26" s="355"/>
      <c r="T26" s="355"/>
      <c r="U26" s="355"/>
      <c r="V26" s="355"/>
      <c r="W26" s="355"/>
      <c r="X26" s="355"/>
      <c r="Y26" s="355"/>
      <c r="Z26" s="355"/>
      <c r="AA26" s="355"/>
      <c r="AB26" s="355"/>
      <c r="AC26" s="356"/>
      <c r="AD26" s="5"/>
      <c r="AE26" s="161" t="s">
        <v>613</v>
      </c>
      <c r="AH26" s="2" t="s">
        <v>142</v>
      </c>
      <c r="AI26" s="2" t="s">
        <v>141</v>
      </c>
    </row>
    <row r="27" spans="1:35" ht="24.95" customHeight="1">
      <c r="B27" s="64"/>
      <c r="C27" s="349"/>
      <c r="D27" s="350"/>
      <c r="E27" s="351"/>
      <c r="F27" s="357"/>
      <c r="G27" s="358"/>
      <c r="H27" s="358"/>
      <c r="I27" s="359"/>
      <c r="J27" s="360"/>
      <c r="K27" s="360"/>
      <c r="L27" s="360"/>
      <c r="M27" s="360"/>
      <c r="N27" s="360"/>
      <c r="O27" s="360"/>
      <c r="P27" s="360"/>
      <c r="Q27" s="360"/>
      <c r="R27" s="360"/>
      <c r="S27" s="360"/>
      <c r="T27" s="360"/>
      <c r="U27" s="360"/>
      <c r="V27" s="360"/>
      <c r="W27" s="360"/>
      <c r="X27" s="360"/>
      <c r="Y27" s="360"/>
      <c r="Z27" s="360"/>
      <c r="AA27" s="360"/>
      <c r="AB27" s="360"/>
      <c r="AC27" s="361"/>
      <c r="AD27" s="5"/>
      <c r="AE27" s="161" t="str">
        <f>IF(F27="","",IF(OR(F27="新潟県",#REF!&lt;&gt;""),"yes","no"))</f>
        <v/>
      </c>
      <c r="AH27" s="2" t="s">
        <v>144</v>
      </c>
      <c r="AI27" s="2" t="s">
        <v>143</v>
      </c>
    </row>
    <row r="28" spans="1:35" ht="24.95" customHeight="1">
      <c r="B28" s="64"/>
      <c r="C28" s="408" t="s">
        <v>597</v>
      </c>
      <c r="D28" s="409"/>
      <c r="E28" s="409"/>
      <c r="F28" s="409"/>
      <c r="G28" s="409"/>
      <c r="H28" s="409"/>
      <c r="I28" s="410"/>
      <c r="J28" s="360"/>
      <c r="K28" s="360"/>
      <c r="L28" s="360"/>
      <c r="M28" s="360"/>
      <c r="N28" s="360"/>
      <c r="O28" s="360"/>
      <c r="P28" s="360"/>
      <c r="Q28" s="360"/>
      <c r="R28" s="360"/>
      <c r="S28" s="360"/>
      <c r="T28" s="360"/>
      <c r="U28" s="360"/>
      <c r="V28" s="360"/>
      <c r="W28" s="360"/>
      <c r="X28" s="360"/>
      <c r="Y28" s="360"/>
      <c r="Z28" s="360"/>
      <c r="AA28" s="360"/>
      <c r="AB28" s="360"/>
      <c r="AC28" s="361"/>
      <c r="AD28" s="69"/>
      <c r="AH28" s="2" t="s">
        <v>146</v>
      </c>
      <c r="AI28" s="2" t="s">
        <v>145</v>
      </c>
    </row>
    <row r="29" spans="1:35" ht="22.15" customHeight="1">
      <c r="B29" s="64"/>
      <c r="C29" s="368" t="s">
        <v>473</v>
      </c>
      <c r="D29" s="369"/>
      <c r="E29" s="370"/>
      <c r="F29" s="401"/>
      <c r="G29" s="402"/>
      <c r="H29" s="402"/>
      <c r="I29" s="402"/>
      <c r="J29" s="402"/>
      <c r="K29" s="402"/>
      <c r="L29" s="402"/>
      <c r="M29" s="402"/>
      <c r="N29" s="402"/>
      <c r="O29" s="403"/>
      <c r="P29" s="404" t="s">
        <v>11</v>
      </c>
      <c r="Q29" s="405"/>
      <c r="R29" s="406"/>
      <c r="S29" s="401"/>
      <c r="T29" s="402"/>
      <c r="U29" s="402"/>
      <c r="V29" s="402"/>
      <c r="W29" s="402"/>
      <c r="X29" s="402"/>
      <c r="Y29" s="402"/>
      <c r="Z29" s="402"/>
      <c r="AA29" s="402"/>
      <c r="AB29" s="402"/>
      <c r="AC29" s="407"/>
      <c r="AD29" s="36"/>
      <c r="AH29" s="2" t="s">
        <v>148</v>
      </c>
      <c r="AI29" s="2" t="s">
        <v>147</v>
      </c>
    </row>
    <row r="30" spans="1:35" ht="22.15" customHeight="1">
      <c r="C30" s="383" t="s">
        <v>604</v>
      </c>
      <c r="D30" s="384"/>
      <c r="E30" s="384"/>
      <c r="F30" s="384"/>
      <c r="G30" s="385"/>
      <c r="H30" s="389" t="s">
        <v>555</v>
      </c>
      <c r="I30" s="390"/>
      <c r="J30" s="390"/>
      <c r="K30" s="391"/>
      <c r="L30" s="392"/>
      <c r="M30" s="393"/>
      <c r="N30" s="393"/>
      <c r="O30" s="393"/>
      <c r="P30" s="393"/>
      <c r="Q30" s="393"/>
      <c r="R30" s="393"/>
      <c r="S30" s="393"/>
      <c r="T30" s="393"/>
      <c r="U30" s="393"/>
      <c r="V30" s="393"/>
      <c r="W30" s="393"/>
      <c r="X30" s="393"/>
      <c r="Y30" s="393"/>
      <c r="Z30" s="393"/>
      <c r="AA30" s="393"/>
      <c r="AB30" s="393"/>
      <c r="AC30" s="394"/>
      <c r="AD30" s="5"/>
      <c r="AH30" s="2" t="s">
        <v>150</v>
      </c>
      <c r="AI30" s="2" t="s">
        <v>149</v>
      </c>
    </row>
    <row r="31" spans="1:35" ht="22.15" customHeight="1" thickBot="1">
      <c r="C31" s="386"/>
      <c r="D31" s="387"/>
      <c r="E31" s="387"/>
      <c r="F31" s="387"/>
      <c r="G31" s="388"/>
      <c r="H31" s="395" t="s">
        <v>473</v>
      </c>
      <c r="I31" s="396"/>
      <c r="J31" s="396"/>
      <c r="K31" s="397"/>
      <c r="L31" s="398"/>
      <c r="M31" s="399"/>
      <c r="N31" s="399"/>
      <c r="O31" s="399"/>
      <c r="P31" s="399"/>
      <c r="Q31" s="399"/>
      <c r="R31" s="399"/>
      <c r="S31" s="399"/>
      <c r="T31" s="399"/>
      <c r="U31" s="399"/>
      <c r="V31" s="399"/>
      <c r="W31" s="399"/>
      <c r="X31" s="399"/>
      <c r="Y31" s="399"/>
      <c r="Z31" s="399"/>
      <c r="AA31" s="399"/>
      <c r="AB31" s="399"/>
      <c r="AC31" s="400"/>
      <c r="AD31" s="8"/>
      <c r="AH31" s="2" t="s">
        <v>152</v>
      </c>
      <c r="AI31" s="2" t="s">
        <v>151</v>
      </c>
    </row>
    <row r="32" spans="1:35" ht="6" customHeight="1">
      <c r="AH32" s="2" t="s">
        <v>154</v>
      </c>
      <c r="AI32" s="2" t="s">
        <v>153</v>
      </c>
    </row>
    <row r="33" spans="1:39" ht="13.5" customHeight="1">
      <c r="A33" s="9"/>
      <c r="B33" s="39" t="s">
        <v>601</v>
      </c>
      <c r="C33" s="10" t="s">
        <v>176</v>
      </c>
      <c r="D33" s="4"/>
      <c r="E33" s="11"/>
      <c r="F33" s="41" t="s">
        <v>699</v>
      </c>
      <c r="G33" s="11"/>
      <c r="I33" s="11"/>
      <c r="J33" s="11"/>
      <c r="K33" s="11"/>
      <c r="L33" s="11"/>
      <c r="M33" s="11"/>
      <c r="N33" s="11"/>
      <c r="O33" s="11"/>
      <c r="P33" s="11"/>
      <c r="Q33" s="11"/>
      <c r="R33" s="11"/>
      <c r="S33" s="11"/>
      <c r="T33" s="11"/>
      <c r="U33" s="11"/>
      <c r="V33" s="11"/>
      <c r="W33" s="11"/>
      <c r="X33" s="11"/>
      <c r="Y33" s="11"/>
      <c r="Z33" s="11"/>
      <c r="AA33" s="11"/>
      <c r="AB33" s="12"/>
      <c r="AH33" s="2" t="s">
        <v>156</v>
      </c>
      <c r="AI33" s="2" t="s">
        <v>155</v>
      </c>
    </row>
    <row r="34" spans="1:39" ht="18" customHeight="1" thickBot="1">
      <c r="A34" s="9"/>
      <c r="B34" s="39" t="s">
        <v>602</v>
      </c>
      <c r="C34" s="13" t="s">
        <v>780</v>
      </c>
      <c r="D34" s="14"/>
      <c r="E34" s="14"/>
      <c r="F34" s="14"/>
      <c r="G34" s="15"/>
      <c r="H34" s="11"/>
      <c r="I34" s="11"/>
      <c r="J34" s="11"/>
      <c r="K34" s="11"/>
      <c r="L34" s="11"/>
      <c r="M34" s="11"/>
      <c r="N34" s="11"/>
      <c r="O34" s="11"/>
      <c r="P34" s="11"/>
      <c r="Q34" s="11"/>
      <c r="R34" s="11"/>
      <c r="S34" s="11"/>
      <c r="T34" s="11"/>
      <c r="U34" s="11"/>
      <c r="V34" s="11"/>
      <c r="W34" s="11"/>
      <c r="X34" s="11"/>
      <c r="Y34" s="11"/>
      <c r="Z34" s="11"/>
      <c r="AA34" s="11"/>
      <c r="AB34" s="12"/>
      <c r="AH34" s="30" t="s">
        <v>84</v>
      </c>
      <c r="AJ34" s="2" t="s">
        <v>85</v>
      </c>
    </row>
    <row r="35" spans="1:39" ht="13.5" customHeight="1">
      <c r="A35" s="9"/>
      <c r="B35" s="4"/>
      <c r="C35" s="426" t="s">
        <v>474</v>
      </c>
      <c r="D35" s="427"/>
      <c r="E35" s="427"/>
      <c r="F35" s="427"/>
      <c r="G35" s="427"/>
      <c r="H35" s="427"/>
      <c r="I35" s="427"/>
      <c r="J35" s="428"/>
      <c r="K35" s="431" t="s">
        <v>179</v>
      </c>
      <c r="L35" s="432"/>
      <c r="M35" s="432"/>
      <c r="N35" s="432"/>
      <c r="O35" s="432"/>
      <c r="P35" s="432"/>
      <c r="Q35" s="432"/>
      <c r="R35" s="432"/>
      <c r="S35" s="432"/>
      <c r="T35" s="432"/>
      <c r="U35" s="432"/>
      <c r="V35" s="432"/>
      <c r="W35" s="432"/>
      <c r="X35" s="432"/>
      <c r="Y35" s="432"/>
      <c r="Z35" s="432"/>
      <c r="AA35" s="432"/>
      <c r="AB35" s="432"/>
      <c r="AC35" s="433"/>
      <c r="AH35" s="37" t="s">
        <v>67</v>
      </c>
      <c r="AI35" s="2" t="s">
        <v>180</v>
      </c>
      <c r="AJ35" s="37" t="s">
        <v>639</v>
      </c>
      <c r="AK35" s="2" t="s">
        <v>187</v>
      </c>
      <c r="AL35" s="37" t="s">
        <v>67</v>
      </c>
      <c r="AM35" s="2" t="s">
        <v>180</v>
      </c>
    </row>
    <row r="36" spans="1:39">
      <c r="B36" s="16"/>
      <c r="C36" s="383"/>
      <c r="D36" s="384"/>
      <c r="E36" s="384"/>
      <c r="F36" s="384"/>
      <c r="G36" s="384"/>
      <c r="H36" s="384"/>
      <c r="I36" s="384"/>
      <c r="J36" s="429"/>
      <c r="K36" s="434" t="s">
        <v>178</v>
      </c>
      <c r="L36" s="435"/>
      <c r="M36" s="436" t="s">
        <v>15</v>
      </c>
      <c r="N36" s="437"/>
      <c r="O36" s="437"/>
      <c r="P36" s="437"/>
      <c r="Q36" s="437"/>
      <c r="R36" s="437"/>
      <c r="S36" s="437"/>
      <c r="T36" s="436" t="s">
        <v>178</v>
      </c>
      <c r="U36" s="435"/>
      <c r="V36" s="436" t="s">
        <v>58</v>
      </c>
      <c r="W36" s="437"/>
      <c r="X36" s="437"/>
      <c r="Y36" s="437"/>
      <c r="Z36" s="437"/>
      <c r="AA36" s="437"/>
      <c r="AB36" s="437"/>
      <c r="AC36" s="17"/>
      <c r="AD36" s="5"/>
      <c r="AH36" s="37" t="s">
        <v>68</v>
      </c>
      <c r="AI36" s="2" t="s">
        <v>198</v>
      </c>
      <c r="AJ36" s="37" t="s">
        <v>640</v>
      </c>
      <c r="AK36" s="2" t="s">
        <v>192</v>
      </c>
      <c r="AL36" s="37" t="s">
        <v>67</v>
      </c>
      <c r="AM36" s="2" t="s">
        <v>180</v>
      </c>
    </row>
    <row r="37" spans="1:39" ht="20.100000000000001" customHeight="1">
      <c r="B37" s="16"/>
      <c r="C37" s="383"/>
      <c r="D37" s="384"/>
      <c r="E37" s="384"/>
      <c r="F37" s="384"/>
      <c r="G37" s="384"/>
      <c r="H37" s="384"/>
      <c r="I37" s="384"/>
      <c r="J37" s="429"/>
      <c r="K37" s="421"/>
      <c r="L37" s="422"/>
      <c r="M37" s="418" t="str">
        <f>IF(K37="","",VLOOKUP(K37,$AH$35:$AI$45,2,FALSE))</f>
        <v/>
      </c>
      <c r="N37" s="419"/>
      <c r="O37" s="419"/>
      <c r="P37" s="419"/>
      <c r="Q37" s="419"/>
      <c r="R37" s="419"/>
      <c r="S37" s="419"/>
      <c r="T37" s="421"/>
      <c r="U37" s="422"/>
      <c r="V37" s="418" t="str">
        <f>IF(T37="","",VLOOKUP(T37,$AH$35:$AI$45,2,FALSE))</f>
        <v/>
      </c>
      <c r="W37" s="419"/>
      <c r="X37" s="419"/>
      <c r="Y37" s="419"/>
      <c r="Z37" s="419"/>
      <c r="AA37" s="419"/>
      <c r="AB37" s="419"/>
      <c r="AC37" s="420"/>
      <c r="AD37" s="5"/>
      <c r="AH37" s="37" t="s">
        <v>70</v>
      </c>
      <c r="AI37" s="2" t="s">
        <v>181</v>
      </c>
      <c r="AJ37" s="37" t="s">
        <v>641</v>
      </c>
      <c r="AK37" s="2" t="s">
        <v>199</v>
      </c>
      <c r="AL37" s="37" t="s">
        <v>68</v>
      </c>
      <c r="AM37" s="2" t="s">
        <v>198</v>
      </c>
    </row>
    <row r="38" spans="1:39" ht="20.100000000000001" customHeight="1">
      <c r="B38" s="16"/>
      <c r="C38" s="383"/>
      <c r="D38" s="384"/>
      <c r="E38" s="384"/>
      <c r="F38" s="384"/>
      <c r="G38" s="384"/>
      <c r="H38" s="384"/>
      <c r="I38" s="384"/>
      <c r="J38" s="429"/>
      <c r="K38" s="421"/>
      <c r="L38" s="422"/>
      <c r="M38" s="418" t="str">
        <f t="shared" ref="M38:M40" si="0">IF(K38="","",VLOOKUP(K38,$AH$35:$AI$45,2,FALSE))</f>
        <v/>
      </c>
      <c r="N38" s="419"/>
      <c r="O38" s="419"/>
      <c r="P38" s="419"/>
      <c r="Q38" s="419"/>
      <c r="R38" s="419"/>
      <c r="S38" s="419"/>
      <c r="T38" s="421"/>
      <c r="U38" s="422"/>
      <c r="V38" s="418" t="str">
        <f t="shared" ref="V38:V39" si="1">IF(T38="","",VLOOKUP(T38,$AH$35:$AI$45,2,FALSE))</f>
        <v/>
      </c>
      <c r="W38" s="419"/>
      <c r="X38" s="419"/>
      <c r="Y38" s="419"/>
      <c r="Z38" s="419"/>
      <c r="AA38" s="419"/>
      <c r="AB38" s="419"/>
      <c r="AC38" s="420"/>
      <c r="AD38" s="5"/>
      <c r="AH38" s="37" t="s">
        <v>72</v>
      </c>
      <c r="AI38" s="2" t="s">
        <v>182</v>
      </c>
      <c r="AJ38" s="37" t="s">
        <v>642</v>
      </c>
      <c r="AK38" s="2" t="s">
        <v>208</v>
      </c>
      <c r="AL38" s="37" t="s">
        <v>70</v>
      </c>
      <c r="AM38" s="2" t="s">
        <v>181</v>
      </c>
    </row>
    <row r="39" spans="1:39" ht="20.100000000000001" customHeight="1">
      <c r="B39" s="16"/>
      <c r="C39" s="383"/>
      <c r="D39" s="384"/>
      <c r="E39" s="384"/>
      <c r="F39" s="384"/>
      <c r="G39" s="384"/>
      <c r="H39" s="384"/>
      <c r="I39" s="384"/>
      <c r="J39" s="429"/>
      <c r="K39" s="421"/>
      <c r="L39" s="422"/>
      <c r="M39" s="418" t="str">
        <f t="shared" si="0"/>
        <v/>
      </c>
      <c r="N39" s="419"/>
      <c r="O39" s="419"/>
      <c r="P39" s="419"/>
      <c r="Q39" s="419"/>
      <c r="R39" s="419"/>
      <c r="S39" s="419"/>
      <c r="T39" s="421"/>
      <c r="U39" s="422"/>
      <c r="V39" s="418" t="str">
        <f t="shared" si="1"/>
        <v/>
      </c>
      <c r="W39" s="419"/>
      <c r="X39" s="419"/>
      <c r="Y39" s="419"/>
      <c r="Z39" s="419"/>
      <c r="AA39" s="419"/>
      <c r="AB39" s="419"/>
      <c r="AC39" s="420"/>
      <c r="AD39" s="5"/>
      <c r="AH39" s="37" t="s">
        <v>74</v>
      </c>
      <c r="AI39" s="2" t="s">
        <v>82</v>
      </c>
      <c r="AJ39" s="37" t="s">
        <v>643</v>
      </c>
      <c r="AK39" s="2" t="s">
        <v>504</v>
      </c>
      <c r="AL39" s="37" t="s">
        <v>70</v>
      </c>
      <c r="AM39" s="2" t="s">
        <v>181</v>
      </c>
    </row>
    <row r="40" spans="1:39" ht="20.100000000000001" customHeight="1" thickBot="1">
      <c r="B40" s="16"/>
      <c r="C40" s="383"/>
      <c r="D40" s="384"/>
      <c r="E40" s="384"/>
      <c r="F40" s="384"/>
      <c r="G40" s="384"/>
      <c r="H40" s="384"/>
      <c r="I40" s="384"/>
      <c r="J40" s="429"/>
      <c r="K40" s="421"/>
      <c r="L40" s="422"/>
      <c r="M40" s="418" t="str">
        <f t="shared" si="0"/>
        <v/>
      </c>
      <c r="N40" s="419"/>
      <c r="O40" s="419"/>
      <c r="P40" s="419"/>
      <c r="Q40" s="419"/>
      <c r="R40" s="419"/>
      <c r="S40" s="419"/>
      <c r="T40" s="438"/>
      <c r="U40" s="439"/>
      <c r="V40" s="440" t="str">
        <f>IF(T40="","",VLOOKUP(T40,$AH$35:$AI$45,2,FALSE))</f>
        <v/>
      </c>
      <c r="W40" s="441"/>
      <c r="X40" s="441"/>
      <c r="Y40" s="441"/>
      <c r="Z40" s="441"/>
      <c r="AA40" s="441"/>
      <c r="AB40" s="441"/>
      <c r="AC40" s="442"/>
      <c r="AD40" s="5"/>
      <c r="AH40" s="37" t="s">
        <v>76</v>
      </c>
      <c r="AI40" s="2" t="s">
        <v>83</v>
      </c>
      <c r="AJ40" s="37" t="s">
        <v>644</v>
      </c>
      <c r="AK40" s="2" t="s">
        <v>217</v>
      </c>
      <c r="AL40" s="37" t="s">
        <v>69</v>
      </c>
      <c r="AM40" s="2" t="s">
        <v>181</v>
      </c>
    </row>
    <row r="41" spans="1:39" ht="20.100000000000001" customHeight="1" thickBot="1">
      <c r="B41" s="4"/>
      <c r="C41" s="386"/>
      <c r="D41" s="387"/>
      <c r="E41" s="387"/>
      <c r="F41" s="387"/>
      <c r="G41" s="387"/>
      <c r="H41" s="387"/>
      <c r="I41" s="387"/>
      <c r="J41" s="430"/>
      <c r="K41" s="421"/>
      <c r="L41" s="422"/>
      <c r="M41" s="440" t="str">
        <f>IF(K41="","",VLOOKUP(K41,$AH$35:$AI$45,2,FALSE))</f>
        <v/>
      </c>
      <c r="N41" s="441"/>
      <c r="O41" s="441"/>
      <c r="P41" s="441"/>
      <c r="Q41" s="441"/>
      <c r="R41" s="441"/>
      <c r="S41" s="442"/>
      <c r="T41" s="18"/>
      <c r="U41" s="19"/>
      <c r="V41" s="61"/>
      <c r="W41" s="61"/>
      <c r="X41" s="20" t="str">
        <f>IF(T41="","",VLOOKUP(T41,#REF!,2,FALSE))</f>
        <v/>
      </c>
      <c r="Y41" s="20"/>
      <c r="Z41" s="20"/>
      <c r="AA41" s="20"/>
      <c r="AB41" s="5"/>
      <c r="AH41" s="37" t="s">
        <v>77</v>
      </c>
      <c r="AI41" s="2" t="s">
        <v>184</v>
      </c>
      <c r="AJ41" s="37" t="s">
        <v>645</v>
      </c>
      <c r="AK41" s="2" t="s">
        <v>223</v>
      </c>
      <c r="AL41" s="37" t="s">
        <v>69</v>
      </c>
      <c r="AM41" s="2" t="s">
        <v>181</v>
      </c>
    </row>
    <row r="42" spans="1:39" ht="18" customHeight="1">
      <c r="B42"/>
      <c r="C42"/>
      <c r="D42"/>
      <c r="E42"/>
      <c r="F42"/>
      <c r="G42"/>
      <c r="H42"/>
      <c r="I42"/>
      <c r="J42"/>
      <c r="K42"/>
      <c r="L42"/>
      <c r="M42"/>
      <c r="N42"/>
      <c r="O42"/>
      <c r="P42"/>
      <c r="Q42"/>
      <c r="R42"/>
      <c r="S42"/>
      <c r="T42"/>
      <c r="U42"/>
      <c r="V42"/>
      <c r="W42"/>
      <c r="X42"/>
      <c r="Y42"/>
      <c r="Z42"/>
      <c r="AA42"/>
      <c r="AB42"/>
      <c r="AC42"/>
      <c r="AH42" s="37" t="s">
        <v>79</v>
      </c>
      <c r="AI42" s="2" t="s">
        <v>363</v>
      </c>
      <c r="AJ42" s="37" t="s">
        <v>646</v>
      </c>
      <c r="AK42" s="2" t="s">
        <v>226</v>
      </c>
      <c r="AL42" s="37" t="s">
        <v>69</v>
      </c>
      <c r="AM42" s="2" t="s">
        <v>181</v>
      </c>
    </row>
    <row r="43" spans="1:39" ht="13.5" customHeight="1">
      <c r="B43" s="39" t="s">
        <v>603</v>
      </c>
      <c r="C43" s="21" t="s">
        <v>177</v>
      </c>
      <c r="D43" s="190"/>
      <c r="E43" s="190"/>
      <c r="F43" s="192"/>
      <c r="G43" s="190"/>
      <c r="H43" s="190"/>
      <c r="I43" s="24" t="s">
        <v>794</v>
      </c>
      <c r="J43"/>
      <c r="K43"/>
      <c r="L43"/>
      <c r="M43"/>
      <c r="N43"/>
      <c r="O43"/>
      <c r="P43"/>
      <c r="Q43"/>
      <c r="R43"/>
      <c r="S43"/>
      <c r="T43"/>
      <c r="U43"/>
      <c r="V43"/>
      <c r="W43"/>
      <c r="X43"/>
      <c r="Y43"/>
      <c r="Z43"/>
      <c r="AA43"/>
      <c r="AB43"/>
      <c r="AC43"/>
      <c r="AD43" s="36"/>
      <c r="AH43" s="37" t="s">
        <v>81</v>
      </c>
      <c r="AI43" s="2" t="s">
        <v>185</v>
      </c>
      <c r="AJ43" s="37" t="s">
        <v>647</v>
      </c>
      <c r="AK43" s="2" t="s">
        <v>230</v>
      </c>
      <c r="AL43" s="37" t="s">
        <v>72</v>
      </c>
      <c r="AM43" s="2" t="s">
        <v>182</v>
      </c>
    </row>
    <row r="44" spans="1:39" ht="13.5" customHeight="1">
      <c r="B44"/>
      <c r="C44"/>
      <c r="D44"/>
      <c r="E44"/>
      <c r="F44"/>
      <c r="G44"/>
      <c r="H44"/>
      <c r="I44"/>
      <c r="J44"/>
      <c r="K44"/>
      <c r="L44"/>
      <c r="M44"/>
      <c r="N44"/>
      <c r="O44"/>
      <c r="P44"/>
      <c r="Q44"/>
      <c r="R44"/>
      <c r="S44"/>
      <c r="T44"/>
      <c r="U44"/>
      <c r="V44"/>
      <c r="W44"/>
      <c r="X44"/>
      <c r="Y44"/>
      <c r="Z44"/>
      <c r="AA44"/>
      <c r="AB44"/>
      <c r="AC44"/>
      <c r="AD44" s="36"/>
      <c r="AH44" s="37" t="s">
        <v>760</v>
      </c>
      <c r="AI44" s="2" t="s">
        <v>763</v>
      </c>
      <c r="AJ44" s="37" t="s">
        <v>648</v>
      </c>
      <c r="AK44" s="2" t="s">
        <v>240</v>
      </c>
      <c r="AL44" s="37" t="s">
        <v>72</v>
      </c>
      <c r="AM44" s="2" t="s">
        <v>182</v>
      </c>
    </row>
    <row r="45" spans="1:39" ht="23.1" customHeight="1">
      <c r="B45"/>
      <c r="C45"/>
      <c r="D45"/>
      <c r="E45"/>
      <c r="F45"/>
      <c r="G45"/>
      <c r="H45"/>
      <c r="I45"/>
      <c r="J45"/>
      <c r="K45"/>
      <c r="L45"/>
      <c r="M45"/>
      <c r="N45"/>
      <c r="O45"/>
      <c r="P45"/>
      <c r="Q45"/>
      <c r="R45"/>
      <c r="S45"/>
      <c r="T45"/>
      <c r="U45"/>
      <c r="V45"/>
      <c r="W45"/>
      <c r="X45"/>
      <c r="Y45"/>
      <c r="Z45"/>
      <c r="AA45"/>
      <c r="AB45"/>
      <c r="AC45"/>
      <c r="AD45" s="5"/>
      <c r="AH45" s="37" t="s">
        <v>762</v>
      </c>
      <c r="AI45" s="2" t="s">
        <v>764</v>
      </c>
      <c r="AJ45" s="37" t="s">
        <v>649</v>
      </c>
      <c r="AK45" s="2" t="s">
        <v>249</v>
      </c>
      <c r="AL45" s="37" t="s">
        <v>71</v>
      </c>
      <c r="AM45" s="2" t="s">
        <v>182</v>
      </c>
    </row>
    <row r="46" spans="1:39" ht="23.1" customHeight="1">
      <c r="B46"/>
      <c r="C46"/>
      <c r="D46"/>
      <c r="E46"/>
      <c r="F46"/>
      <c r="G46"/>
      <c r="H46"/>
      <c r="I46"/>
      <c r="J46"/>
      <c r="K46"/>
      <c r="L46"/>
      <c r="M46"/>
      <c r="N46"/>
      <c r="O46"/>
      <c r="P46"/>
      <c r="Q46"/>
      <c r="R46"/>
      <c r="S46"/>
      <c r="T46"/>
      <c r="U46"/>
      <c r="V46"/>
      <c r="W46"/>
      <c r="X46"/>
      <c r="Y46"/>
      <c r="Z46"/>
      <c r="AA46"/>
      <c r="AB46"/>
      <c r="AC46"/>
      <c r="AD46" s="5"/>
      <c r="AH46" s="37"/>
      <c r="AJ46" s="37" t="s">
        <v>650</v>
      </c>
      <c r="AK46" s="2" t="s">
        <v>258</v>
      </c>
      <c r="AL46" s="37" t="s">
        <v>71</v>
      </c>
      <c r="AM46" s="2" t="s">
        <v>182</v>
      </c>
    </row>
    <row r="47" spans="1:39" ht="23.1" customHeight="1">
      <c r="B47"/>
      <c r="C47"/>
      <c r="D47"/>
      <c r="E47"/>
      <c r="F47"/>
      <c r="G47"/>
      <c r="H47"/>
      <c r="I47"/>
      <c r="J47"/>
      <c r="K47"/>
      <c r="L47"/>
      <c r="M47"/>
      <c r="N47"/>
      <c r="O47"/>
      <c r="P47"/>
      <c r="Q47"/>
      <c r="R47"/>
      <c r="S47"/>
      <c r="T47"/>
      <c r="U47"/>
      <c r="V47"/>
      <c r="W47"/>
      <c r="X47"/>
      <c r="Y47"/>
      <c r="Z47"/>
      <c r="AA47"/>
      <c r="AB47"/>
      <c r="AC47"/>
      <c r="AD47" s="5"/>
      <c r="AH47" s="37"/>
      <c r="AJ47" s="37" t="s">
        <v>651</v>
      </c>
      <c r="AK47" s="2" t="s">
        <v>86</v>
      </c>
      <c r="AL47" s="37" t="s">
        <v>71</v>
      </c>
      <c r="AM47" s="2" t="s">
        <v>182</v>
      </c>
    </row>
    <row r="48" spans="1:39" ht="6" customHeight="1">
      <c r="B48" s="64"/>
      <c r="C48" s="6"/>
      <c r="D48" s="6"/>
      <c r="E48" s="6"/>
      <c r="F48" s="7"/>
      <c r="G48" s="36"/>
      <c r="H48" s="36"/>
      <c r="I48" s="36"/>
      <c r="J48" s="36"/>
      <c r="K48" s="36"/>
      <c r="L48" s="36"/>
      <c r="M48" s="36"/>
      <c r="N48" s="36"/>
      <c r="O48" s="36"/>
      <c r="P48" s="36"/>
      <c r="Q48" s="36"/>
      <c r="R48" s="36"/>
      <c r="S48" s="36"/>
      <c r="T48" s="36"/>
      <c r="U48" s="36"/>
      <c r="V48" s="36"/>
      <c r="W48" s="36"/>
      <c r="X48" s="36"/>
      <c r="Y48" s="36"/>
      <c r="Z48" s="36"/>
      <c r="AA48" s="36"/>
      <c r="AB48" s="36"/>
      <c r="AC48" s="36"/>
      <c r="AD48" s="36"/>
      <c r="AH48" s="2"/>
      <c r="AJ48" s="37" t="s">
        <v>652</v>
      </c>
      <c r="AK48" s="2" t="s">
        <v>275</v>
      </c>
      <c r="AL48" s="37" t="s">
        <v>71</v>
      </c>
      <c r="AM48" s="2" t="s">
        <v>182</v>
      </c>
    </row>
    <row r="49" spans="2:39">
      <c r="B49" s="39"/>
      <c r="C49" s="21"/>
      <c r="D49" s="4"/>
      <c r="E49" s="4"/>
      <c r="G49" s="4"/>
      <c r="H49" s="4"/>
      <c r="I49" s="24"/>
      <c r="J49" s="4"/>
      <c r="K49" s="4"/>
      <c r="L49" s="4"/>
      <c r="M49" s="4"/>
      <c r="N49" s="4"/>
      <c r="O49" s="4"/>
      <c r="P49" s="4"/>
      <c r="Q49" s="4"/>
      <c r="R49" s="4"/>
      <c r="S49" s="4"/>
      <c r="T49" s="4"/>
      <c r="U49" s="4"/>
      <c r="V49" s="4"/>
      <c r="W49" s="4"/>
      <c r="X49" s="4"/>
      <c r="Y49" s="4"/>
      <c r="Z49" s="4"/>
      <c r="AA49" s="4"/>
      <c r="AB49" s="4"/>
      <c r="AJ49" s="37" t="s">
        <v>653</v>
      </c>
      <c r="AK49" s="2" t="s">
        <v>283</v>
      </c>
      <c r="AL49" s="37" t="s">
        <v>71</v>
      </c>
      <c r="AM49" s="2" t="s">
        <v>182</v>
      </c>
    </row>
    <row r="50" spans="2:39">
      <c r="B50" s="39"/>
      <c r="C50" s="22"/>
      <c r="D50" s="4"/>
      <c r="E50" s="4"/>
      <c r="F50" s="4"/>
      <c r="G50" s="4"/>
      <c r="H50" s="4"/>
      <c r="I50" s="42"/>
      <c r="J50" s="63"/>
      <c r="L50" s="63"/>
      <c r="M50" s="63"/>
      <c r="N50" s="63"/>
      <c r="O50" s="63"/>
      <c r="P50" s="63"/>
      <c r="Q50" s="63"/>
      <c r="R50" s="63"/>
      <c r="S50" s="63"/>
      <c r="T50" s="63"/>
      <c r="U50" s="63"/>
      <c r="V50" s="63"/>
      <c r="W50" s="63"/>
      <c r="X50" s="63"/>
      <c r="Y50" s="63"/>
      <c r="Z50" s="63"/>
      <c r="AA50" s="63"/>
      <c r="AB50" s="63"/>
      <c r="AC50" s="63"/>
      <c r="AJ50" s="37" t="s">
        <v>654</v>
      </c>
      <c r="AK50" s="2" t="s">
        <v>289</v>
      </c>
      <c r="AL50" s="37" t="s">
        <v>71</v>
      </c>
      <c r="AM50" s="2" t="s">
        <v>182</v>
      </c>
    </row>
    <row r="51" spans="2:39">
      <c r="B51" s="39"/>
      <c r="C51" s="22"/>
      <c r="D51" s="4"/>
      <c r="E51" s="4"/>
      <c r="F51" s="4"/>
      <c r="G51" s="4"/>
      <c r="H51" s="4"/>
      <c r="I51" s="42"/>
      <c r="J51" s="63"/>
      <c r="L51" s="63"/>
      <c r="M51" s="63"/>
      <c r="N51" s="63"/>
      <c r="O51" s="63"/>
      <c r="P51" s="63"/>
      <c r="Q51" s="63"/>
      <c r="R51" s="63"/>
      <c r="S51" s="63"/>
      <c r="T51" s="63"/>
      <c r="U51" s="63"/>
      <c r="V51" s="63"/>
      <c r="W51" s="63"/>
      <c r="X51" s="63"/>
      <c r="Y51" s="63"/>
      <c r="Z51" s="63"/>
      <c r="AA51" s="63"/>
      <c r="AB51" s="63"/>
      <c r="AC51" s="63"/>
      <c r="AD51" s="63"/>
      <c r="AJ51" s="37" t="s">
        <v>655</v>
      </c>
      <c r="AK51" s="2" t="s">
        <v>293</v>
      </c>
      <c r="AL51" s="37" t="s">
        <v>71</v>
      </c>
      <c r="AM51" s="2" t="s">
        <v>182</v>
      </c>
    </row>
    <row r="52" spans="2:39">
      <c r="B52" s="4"/>
      <c r="C52" s="4"/>
      <c r="D52" s="4"/>
      <c r="E52" s="4"/>
      <c r="F52" s="4"/>
      <c r="G52" s="4"/>
      <c r="H52" s="4"/>
      <c r="I52" s="4"/>
      <c r="J52" s="4"/>
      <c r="K52" s="4"/>
      <c r="L52" s="4"/>
      <c r="M52" s="4"/>
      <c r="N52" s="4"/>
      <c r="O52" s="4"/>
      <c r="P52" s="4"/>
      <c r="Q52" s="4"/>
      <c r="R52" s="4"/>
      <c r="S52" s="4"/>
      <c r="T52" s="4"/>
      <c r="U52" s="4"/>
      <c r="V52" s="4"/>
      <c r="W52" s="4"/>
      <c r="X52" s="4"/>
      <c r="Y52" s="4"/>
      <c r="Z52" s="4"/>
      <c r="AA52" s="4"/>
      <c r="AB52" s="4"/>
      <c r="AJ52" s="37" t="s">
        <v>656</v>
      </c>
      <c r="AK52" s="2" t="s">
        <v>302</v>
      </c>
      <c r="AL52" s="37" t="s">
        <v>71</v>
      </c>
      <c r="AM52" s="2" t="s">
        <v>182</v>
      </c>
    </row>
    <row r="53" spans="2:39">
      <c r="AJ53" s="37" t="s">
        <v>657</v>
      </c>
      <c r="AK53" s="2" t="s">
        <v>305</v>
      </c>
      <c r="AL53" s="37" t="s">
        <v>71</v>
      </c>
      <c r="AM53" s="2" t="s">
        <v>182</v>
      </c>
    </row>
    <row r="54" spans="2:39">
      <c r="AJ54" s="37" t="s">
        <v>658</v>
      </c>
      <c r="AK54" s="2" t="s">
        <v>313</v>
      </c>
      <c r="AL54" s="37" t="s">
        <v>74</v>
      </c>
      <c r="AM54" s="2" t="s">
        <v>82</v>
      </c>
    </row>
    <row r="55" spans="2:39">
      <c r="AJ55" s="37" t="s">
        <v>659</v>
      </c>
      <c r="AK55" s="2" t="s">
        <v>87</v>
      </c>
      <c r="AL55" s="37" t="s">
        <v>74</v>
      </c>
      <c r="AM55" s="2" t="s">
        <v>82</v>
      </c>
    </row>
    <row r="56" spans="2:39">
      <c r="AJ56" s="37" t="s">
        <v>660</v>
      </c>
      <c r="AK56" s="2" t="s">
        <v>88</v>
      </c>
      <c r="AL56" s="37" t="s">
        <v>73</v>
      </c>
      <c r="AM56" s="2" t="s">
        <v>82</v>
      </c>
    </row>
    <row r="57" spans="2:39">
      <c r="AJ57" s="37" t="s">
        <v>661</v>
      </c>
      <c r="AK57" s="2" t="s">
        <v>336</v>
      </c>
      <c r="AL57" s="37" t="s">
        <v>76</v>
      </c>
      <c r="AM57" s="2" t="s">
        <v>83</v>
      </c>
    </row>
    <row r="58" spans="2:39">
      <c r="AJ58" s="37" t="s">
        <v>662</v>
      </c>
      <c r="AK58" s="2" t="s">
        <v>43</v>
      </c>
      <c r="AL58" s="37" t="s">
        <v>76</v>
      </c>
      <c r="AM58" s="2" t="s">
        <v>83</v>
      </c>
    </row>
    <row r="59" spans="2:39">
      <c r="AJ59" s="37" t="s">
        <v>663</v>
      </c>
      <c r="AK59" s="2" t="s">
        <v>98</v>
      </c>
      <c r="AL59" s="37" t="s">
        <v>75</v>
      </c>
      <c r="AM59" s="2" t="s">
        <v>83</v>
      </c>
    </row>
    <row r="60" spans="2:39">
      <c r="AJ60" s="37" t="s">
        <v>664</v>
      </c>
      <c r="AK60" s="2" t="s">
        <v>184</v>
      </c>
      <c r="AL60" s="37" t="s">
        <v>77</v>
      </c>
      <c r="AM60" s="2" t="s">
        <v>184</v>
      </c>
    </row>
    <row r="61" spans="2:39">
      <c r="AJ61" s="37" t="s">
        <v>665</v>
      </c>
      <c r="AK61" s="2" t="s">
        <v>89</v>
      </c>
      <c r="AL61" s="37" t="s">
        <v>79</v>
      </c>
      <c r="AM61" s="2" t="s">
        <v>363</v>
      </c>
    </row>
    <row r="62" spans="2:39">
      <c r="AJ62" s="37" t="s">
        <v>666</v>
      </c>
      <c r="AK62" s="2" t="s">
        <v>90</v>
      </c>
      <c r="AL62" s="37" t="s">
        <v>79</v>
      </c>
      <c r="AM62" s="2" t="s">
        <v>363</v>
      </c>
    </row>
    <row r="63" spans="2:39">
      <c r="AJ63" s="37" t="s">
        <v>667</v>
      </c>
      <c r="AK63" s="2" t="s">
        <v>379</v>
      </c>
      <c r="AL63" s="37" t="s">
        <v>78</v>
      </c>
      <c r="AM63" s="2" t="s">
        <v>363</v>
      </c>
    </row>
    <row r="64" spans="2:39">
      <c r="AJ64" s="37" t="s">
        <v>668</v>
      </c>
      <c r="AK64" s="2" t="s">
        <v>383</v>
      </c>
      <c r="AL64" s="37" t="s">
        <v>78</v>
      </c>
      <c r="AM64" s="2" t="s">
        <v>363</v>
      </c>
    </row>
    <row r="65" spans="34:39">
      <c r="AJ65" s="37" t="s">
        <v>669</v>
      </c>
      <c r="AK65" s="2" t="s">
        <v>393</v>
      </c>
      <c r="AL65" s="37" t="s">
        <v>78</v>
      </c>
      <c r="AM65" s="2" t="s">
        <v>363</v>
      </c>
    </row>
    <row r="66" spans="34:39">
      <c r="AJ66" s="37" t="s">
        <v>670</v>
      </c>
      <c r="AK66" s="2" t="s">
        <v>397</v>
      </c>
      <c r="AL66" s="37" t="s">
        <v>81</v>
      </c>
      <c r="AM66" s="2" t="s">
        <v>185</v>
      </c>
    </row>
    <row r="67" spans="34:39">
      <c r="AJ67" s="37" t="s">
        <v>671</v>
      </c>
      <c r="AK67" s="2" t="s">
        <v>91</v>
      </c>
      <c r="AL67" s="37" t="s">
        <v>81</v>
      </c>
      <c r="AM67" s="2" t="s">
        <v>185</v>
      </c>
    </row>
    <row r="68" spans="34:39">
      <c r="AJ68" s="37" t="s">
        <v>672</v>
      </c>
      <c r="AK68" s="2" t="s">
        <v>408</v>
      </c>
      <c r="AL68" s="37" t="s">
        <v>80</v>
      </c>
      <c r="AM68" s="2" t="s">
        <v>185</v>
      </c>
    </row>
    <row r="69" spans="34:39">
      <c r="AJ69" s="37" t="s">
        <v>673</v>
      </c>
      <c r="AK69" s="2" t="s">
        <v>412</v>
      </c>
      <c r="AL69" s="37" t="s">
        <v>80</v>
      </c>
      <c r="AM69" s="2" t="s">
        <v>185</v>
      </c>
    </row>
    <row r="70" spans="34:39">
      <c r="AJ70" s="37" t="s">
        <v>674</v>
      </c>
      <c r="AK70" s="2" t="s">
        <v>92</v>
      </c>
      <c r="AL70" s="37" t="s">
        <v>80</v>
      </c>
      <c r="AM70" s="2" t="s">
        <v>185</v>
      </c>
    </row>
    <row r="71" spans="34:39">
      <c r="AJ71" s="37" t="s">
        <v>675</v>
      </c>
      <c r="AK71" s="2" t="s">
        <v>93</v>
      </c>
      <c r="AL71" s="37" t="s">
        <v>80</v>
      </c>
      <c r="AM71" s="2" t="s">
        <v>185</v>
      </c>
    </row>
    <row r="72" spans="34:39">
      <c r="AJ72" s="37" t="s">
        <v>676</v>
      </c>
      <c r="AK72" s="2" t="s">
        <v>505</v>
      </c>
      <c r="AL72" s="37" t="s">
        <v>80</v>
      </c>
      <c r="AM72" s="2" t="s">
        <v>185</v>
      </c>
    </row>
    <row r="73" spans="34:39">
      <c r="AJ73" s="37" t="s">
        <v>677</v>
      </c>
      <c r="AK73" s="2" t="s">
        <v>94</v>
      </c>
      <c r="AL73" s="37" t="s">
        <v>80</v>
      </c>
      <c r="AM73" s="2" t="s">
        <v>185</v>
      </c>
    </row>
    <row r="74" spans="34:39">
      <c r="AJ74" s="37" t="s">
        <v>678</v>
      </c>
      <c r="AK74" s="2" t="s">
        <v>95</v>
      </c>
      <c r="AL74" s="37" t="s">
        <v>80</v>
      </c>
      <c r="AM74" s="2" t="s">
        <v>185</v>
      </c>
    </row>
    <row r="75" spans="34:39">
      <c r="AJ75" s="37" t="s">
        <v>679</v>
      </c>
      <c r="AK75" s="2" t="s">
        <v>96</v>
      </c>
      <c r="AL75" s="37" t="s">
        <v>80</v>
      </c>
      <c r="AM75" s="2" t="s">
        <v>185</v>
      </c>
    </row>
    <row r="76" spans="34:39">
      <c r="AJ76" s="37" t="s">
        <v>680</v>
      </c>
      <c r="AK76" s="2" t="s">
        <v>97</v>
      </c>
      <c r="AL76" s="37" t="s">
        <v>80</v>
      </c>
      <c r="AM76" s="2" t="s">
        <v>185</v>
      </c>
    </row>
    <row r="77" spans="34:39">
      <c r="AJ77" s="37" t="s">
        <v>681</v>
      </c>
      <c r="AK77" s="2" t="s">
        <v>460</v>
      </c>
      <c r="AL77" s="37" t="s">
        <v>80</v>
      </c>
      <c r="AM77" s="2" t="s">
        <v>185</v>
      </c>
    </row>
    <row r="78" spans="34:39">
      <c r="AJ78" s="37" t="s">
        <v>682</v>
      </c>
      <c r="AK78" s="2" t="s">
        <v>466</v>
      </c>
      <c r="AL78" s="37" t="s">
        <v>80</v>
      </c>
      <c r="AM78" s="2" t="s">
        <v>185</v>
      </c>
    </row>
    <row r="79" spans="34:39">
      <c r="AJ79" s="37" t="s">
        <v>683</v>
      </c>
      <c r="AK79" s="2" t="s">
        <v>396</v>
      </c>
      <c r="AL79" s="37" t="s">
        <v>80</v>
      </c>
      <c r="AM79" s="2" t="s">
        <v>185</v>
      </c>
    </row>
    <row r="80" spans="34:39">
      <c r="AH80" s="2"/>
      <c r="AJ80" s="193" t="s">
        <v>767</v>
      </c>
      <c r="AK80" s="2" t="s">
        <v>701</v>
      </c>
      <c r="AL80" s="193" t="s">
        <v>760</v>
      </c>
      <c r="AM80" s="2" t="s">
        <v>766</v>
      </c>
    </row>
    <row r="81" spans="36:39">
      <c r="AJ81" s="193" t="s">
        <v>768</v>
      </c>
      <c r="AK81" s="2" t="s">
        <v>765</v>
      </c>
      <c r="AL81" s="193" t="s">
        <v>760</v>
      </c>
      <c r="AM81" s="192" t="s">
        <v>766</v>
      </c>
    </row>
    <row r="82" spans="36:39">
      <c r="AJ82" s="193" t="s">
        <v>769</v>
      </c>
      <c r="AK82" s="2" t="s">
        <v>715</v>
      </c>
      <c r="AL82" s="193" t="s">
        <v>760</v>
      </c>
      <c r="AM82" s="192" t="s">
        <v>766</v>
      </c>
    </row>
    <row r="83" spans="36:39">
      <c r="AJ83" s="193" t="s">
        <v>770</v>
      </c>
      <c r="AK83" s="2" t="s">
        <v>722</v>
      </c>
      <c r="AL83" s="193" t="s">
        <v>760</v>
      </c>
      <c r="AM83" s="192" t="s">
        <v>766</v>
      </c>
    </row>
    <row r="84" spans="36:39">
      <c r="AJ84" s="193" t="s">
        <v>771</v>
      </c>
      <c r="AK84" s="2" t="s">
        <v>727</v>
      </c>
      <c r="AL84" s="193" t="s">
        <v>760</v>
      </c>
      <c r="AM84" s="192" t="s">
        <v>766</v>
      </c>
    </row>
    <row r="85" spans="36:39">
      <c r="AJ85" s="193" t="s">
        <v>772</v>
      </c>
      <c r="AK85" s="2" t="s">
        <v>731</v>
      </c>
      <c r="AL85" s="193" t="s">
        <v>760</v>
      </c>
      <c r="AM85" s="192" t="s">
        <v>766</v>
      </c>
    </row>
    <row r="86" spans="36:39">
      <c r="AJ86" s="193" t="s">
        <v>773</v>
      </c>
      <c r="AK86" s="2" t="s">
        <v>735</v>
      </c>
      <c r="AL86" s="193" t="s">
        <v>760</v>
      </c>
      <c r="AM86" s="192" t="s">
        <v>766</v>
      </c>
    </row>
    <row r="87" spans="36:39">
      <c r="AJ87" s="193" t="s">
        <v>774</v>
      </c>
      <c r="AK87" s="2" t="s">
        <v>740</v>
      </c>
      <c r="AL87" s="193" t="s">
        <v>760</v>
      </c>
      <c r="AM87" s="192" t="s">
        <v>766</v>
      </c>
    </row>
    <row r="88" spans="36:39">
      <c r="AJ88" s="193" t="s">
        <v>775</v>
      </c>
      <c r="AK88" s="2" t="s">
        <v>744</v>
      </c>
      <c r="AL88" s="193" t="s">
        <v>760</v>
      </c>
      <c r="AM88" s="192" t="s">
        <v>766</v>
      </c>
    </row>
    <row r="89" spans="36:39">
      <c r="AJ89" s="193" t="s">
        <v>776</v>
      </c>
      <c r="AK89" s="2" t="s">
        <v>396</v>
      </c>
      <c r="AL89" s="193" t="s">
        <v>760</v>
      </c>
      <c r="AM89" s="192" t="s">
        <v>766</v>
      </c>
    </row>
    <row r="90" spans="36:39">
      <c r="AJ90" s="193" t="s">
        <v>777</v>
      </c>
      <c r="AK90" s="2" t="s">
        <v>778</v>
      </c>
      <c r="AL90" s="193" t="s">
        <v>761</v>
      </c>
      <c r="AM90" s="2" t="s">
        <v>764</v>
      </c>
    </row>
  </sheetData>
  <sheetProtection selectLockedCells="1"/>
  <mergeCells count="66">
    <mergeCell ref="C35:J41"/>
    <mergeCell ref="K35:AC35"/>
    <mergeCell ref="K36:L36"/>
    <mergeCell ref="M36:S36"/>
    <mergeCell ref="T36:U36"/>
    <mergeCell ref="V36:AB36"/>
    <mergeCell ref="K37:L37"/>
    <mergeCell ref="M37:S37"/>
    <mergeCell ref="T37:U37"/>
    <mergeCell ref="K40:L40"/>
    <mergeCell ref="M40:S40"/>
    <mergeCell ref="T40:U40"/>
    <mergeCell ref="V40:AC40"/>
    <mergeCell ref="K41:L41"/>
    <mergeCell ref="M41:S41"/>
    <mergeCell ref="V37:AC37"/>
    <mergeCell ref="T38:U38"/>
    <mergeCell ref="V38:AC38"/>
    <mergeCell ref="K39:L39"/>
    <mergeCell ref="M39:S39"/>
    <mergeCell ref="T39:U39"/>
    <mergeCell ref="V39:AC39"/>
    <mergeCell ref="K38:L38"/>
    <mergeCell ref="M38:S38"/>
    <mergeCell ref="C29:E29"/>
    <mergeCell ref="F29:O29"/>
    <mergeCell ref="P29:R29"/>
    <mergeCell ref="S29:AC29"/>
    <mergeCell ref="C28:I28"/>
    <mergeCell ref="J28:AC28"/>
    <mergeCell ref="C30:G31"/>
    <mergeCell ref="H30:K30"/>
    <mergeCell ref="L30:AC30"/>
    <mergeCell ref="H31:K31"/>
    <mergeCell ref="L31:AC31"/>
    <mergeCell ref="C25:E25"/>
    <mergeCell ref="C21:G21"/>
    <mergeCell ref="H21:AC21"/>
    <mergeCell ref="C22:G22"/>
    <mergeCell ref="H22:I22"/>
    <mergeCell ref="T23:AC23"/>
    <mergeCell ref="H23:S23"/>
    <mergeCell ref="J22:O22"/>
    <mergeCell ref="P22:Q22"/>
    <mergeCell ref="R22:AC22"/>
    <mergeCell ref="C23:G23"/>
    <mergeCell ref="Z25:AC25"/>
    <mergeCell ref="T25:X25"/>
    <mergeCell ref="N25:S25"/>
    <mergeCell ref="F25:M25"/>
    <mergeCell ref="C26:E27"/>
    <mergeCell ref="F26:I26"/>
    <mergeCell ref="J26:AC26"/>
    <mergeCell ref="F27:I27"/>
    <mergeCell ref="J27:AC27"/>
    <mergeCell ref="A1:D2"/>
    <mergeCell ref="A10:AC13"/>
    <mergeCell ref="R7:U7"/>
    <mergeCell ref="V7:W7"/>
    <mergeCell ref="C20:G20"/>
    <mergeCell ref="H20:AC20"/>
    <mergeCell ref="F16:G16"/>
    <mergeCell ref="Y16:AC17"/>
    <mergeCell ref="C17:E17"/>
    <mergeCell ref="F17:J17"/>
    <mergeCell ref="A5:AC6"/>
  </mergeCells>
  <phoneticPr fontId="2"/>
  <conditionalFormatting sqref="F25 F29 S29">
    <cfRule type="cellIs" dxfId="222" priority="12" stopIfTrue="1" operator="notEqual">
      <formula>""</formula>
    </cfRule>
  </conditionalFormatting>
  <conditionalFormatting sqref="F27">
    <cfRule type="cellIs" dxfId="221" priority="1" stopIfTrue="1" operator="notEqual">
      <formula>""</formula>
    </cfRule>
  </conditionalFormatting>
  <conditionalFormatting sqref="H20:H21 J22 R22 H23">
    <cfRule type="cellIs" dxfId="220" priority="13" stopIfTrue="1" operator="notEqual">
      <formula>""</formula>
    </cfRule>
  </conditionalFormatting>
  <conditionalFormatting sqref="J27:J28">
    <cfRule type="cellIs" dxfId="219" priority="3" stopIfTrue="1" operator="notEqual">
      <formula>""</formula>
    </cfRule>
  </conditionalFormatting>
  <conditionalFormatting sqref="L30:L31">
    <cfRule type="cellIs" dxfId="218" priority="2" stopIfTrue="1" operator="notEqual">
      <formula>""</formula>
    </cfRule>
  </conditionalFormatting>
  <conditionalFormatting sqref="T37:U40 K37:L41">
    <cfRule type="cellIs" dxfId="217" priority="10" operator="notEqual">
      <formula>""</formula>
    </cfRule>
  </conditionalFormatting>
  <conditionalFormatting sqref="X7">
    <cfRule type="expression" dxfId="216" priority="7">
      <formula>X7&lt;&gt;""</formula>
    </cfRule>
  </conditionalFormatting>
  <conditionalFormatting sqref="Z7 C17:E17 T25">
    <cfRule type="expression" dxfId="215" priority="8">
      <formula>C7&lt;&gt;""</formula>
    </cfRule>
  </conditionalFormatting>
  <conditionalFormatting sqref="AB7">
    <cfRule type="expression" dxfId="214" priority="6">
      <formula>AB7&lt;&gt;""</formula>
    </cfRule>
  </conditionalFormatting>
  <conditionalFormatting sqref="AB8 AB14 O19:U19 W19:Z19 P22 T41:U41 M50:AC50 I50:J51 L50:L51 M51:AD51">
    <cfRule type="cellIs" dxfId="213" priority="11" stopIfTrue="1" operator="notEqual">
      <formula>""</formula>
    </cfRule>
  </conditionalFormatting>
  <dataValidations count="16">
    <dataValidation type="custom" imeMode="on" allowBlank="1" showInputMessage="1" showErrorMessage="1" error="全角で入力してください。" sqref="R22:AC22" xr:uid="{00000000-0002-0000-0000-000000000000}">
      <formula1>R22=DBCS(R22)</formula1>
    </dataValidation>
    <dataValidation type="custom" imeMode="on" allowBlank="1" showInputMessage="1" showErrorMessage="1" errorTitle="商号又は名称" error="すべて全角で入力してください。" sqref="H21:AC21" xr:uid="{00000000-0002-0000-0000-000001000000}">
      <formula1>H21=DBCS(H21)</formula1>
    </dataValidation>
    <dataValidation type="custom" imeMode="hiragana" allowBlank="1" showInputMessage="1" showErrorMessage="1" errorTitle="ふりがな" error="・全角ひらがなで入力してください。" sqref="H20:AC20" xr:uid="{00000000-0002-0000-0000-000002000000}">
      <formula1>H20=DBCS(H20)</formula1>
    </dataValidation>
    <dataValidation imeMode="disabled" allowBlank="1" showInputMessage="1" showErrorMessage="1" sqref="AB7 X7 Z7 F29:O29 S29:AC29 L31:AC31" xr:uid="{00000000-0002-0000-0000-000003000000}"/>
    <dataValidation type="list" allowBlank="1" showInputMessage="1" showErrorMessage="1" sqref="C17:E17" xr:uid="{00000000-0002-0000-0000-000004000000}">
      <formula1>$AH$1:$AH$2</formula1>
    </dataValidation>
    <dataValidation imeMode="on" allowBlank="1" showInputMessage="1" showErrorMessage="1" sqref="J22:O22" xr:uid="{00000000-0002-0000-0000-000006000000}"/>
    <dataValidation type="textLength" imeMode="disabled" operator="equal" allowBlank="1" showInputMessage="1" showErrorMessage="1" error="以下を確認してください。_x000a_・郵便番号は７桁です。_x000a_・ハイフンで区切ってください。" sqref="F25:M25" xr:uid="{00000000-0002-0000-0000-000007000000}">
      <formula1>8</formula1>
    </dataValidation>
    <dataValidation imeMode="off" allowBlank="1" showInputMessage="1" showErrorMessage="1" sqref="J26" xr:uid="{00000000-0002-0000-0000-000008000000}"/>
    <dataValidation type="list" imeMode="off" allowBlank="1" showInputMessage="1" showErrorMessage="1" prompt="右のボタンを押し、リストからコードを選択してください。_x000a_ひとつおいて右のセルに大分類の名称が表示されます。_x000a_クリアする場合はBackspaceキーでクリアしてください。_x000a_" sqref="T41:U41" xr:uid="{00000000-0002-0000-0000-000009000000}">
      <formula1>#REF!</formula1>
    </dataValidation>
    <dataValidation type="list" imeMode="disabled" operator="equal" allowBlank="1" showInputMessage="1" showErrorMessage="1" error="・ハイフンは入力しないでください。_x000a_・桁数（７桁）を確認してください。" sqref="T25" xr:uid="{00000000-0002-0000-0000-00000A000000}">
      <formula1>$AH$3:$AH$33</formula1>
    </dataValidation>
    <dataValidation type="list" imeMode="off" allowBlank="1" showErrorMessage="1" prompt="右のボタンから希望する大分類コードを選択してください。_x000a_右のセルに大分類の種目名が表示されます。_x000a_" sqref="T37:U40 K37:L41" xr:uid="{00000000-0002-0000-0000-00000C000000}">
      <formula1>$AH$35:$AH$45</formula1>
    </dataValidation>
    <dataValidation type="textLength" imeMode="disabled" operator="equal" allowBlank="1" showInputMessage="1" showErrorMessage="1" errorTitle="法人番号" error="法人番号は13桁で入力してください。" sqref="H23:S23" xr:uid="{00000000-0002-0000-0000-00000E000000}">
      <formula1>13</formula1>
    </dataValidation>
    <dataValidation type="custom" imeMode="on" allowBlank="1" showInputMessage="1" showErrorMessage="1" errorTitle="住所" error="すべて全角で入力してください。" sqref="J27:AC27" xr:uid="{00000000-0002-0000-0000-00000F000000}">
      <formula1>J27=DBCS(J27)</formula1>
    </dataValidation>
    <dataValidation imeMode="on" allowBlank="1" showInputMessage="1" errorTitle="住所" error="すべて全角で入力してください。" sqref="J28:AC28" xr:uid="{00000000-0002-0000-0000-000010000000}"/>
    <dataValidation type="custom" imeMode="on" allowBlank="1" showInputMessage="1" showErrorMessage="1" error="すべて全角で入力してください。" sqref="L30:AC30" xr:uid="{314AC1A6-BE72-4C43-8AD5-43C47277CB08}">
      <formula1>L30=DBCS(L30)</formula1>
    </dataValidation>
    <dataValidation type="textLength" imeMode="on" operator="greaterThanOrEqual" allowBlank="1" showInputMessage="1" showErrorMessage="1" error="「都」「道」「府」「県」まで記入してください。_x000a_【良い例】新潟県_x000a_【悪い例】新潟" sqref="F27:I27" xr:uid="{9193793C-28A0-4B29-B83C-402414D8ECAD}">
      <formula1>3</formula1>
    </dataValidation>
  </dataValidations>
  <pageMargins left="0.78740157480314965" right="0.59055118110236227" top="0.78740157480314965" bottom="0.39370078740157483" header="0.51181102362204722" footer="0.51181102362204722"/>
  <pageSetup paperSize="9" fitToWidth="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O53"/>
  <sheetViews>
    <sheetView showGridLines="0" showZeros="0" tabSelected="1" view="pageBreakPreview" zoomScaleNormal="100" zoomScaleSheetLayoutView="100" workbookViewId="0">
      <selection activeCell="AQ10" sqref="AQ10"/>
    </sheetView>
  </sheetViews>
  <sheetFormatPr defaultColWidth="3" defaultRowHeight="13.5"/>
  <cols>
    <col min="1" max="1" width="3.375" style="2" customWidth="1"/>
    <col min="2" max="2" width="5.125" style="2" customWidth="1"/>
    <col min="3" max="3" width="2.875" style="2" customWidth="1"/>
    <col min="4" max="4" width="5.125" style="2" customWidth="1"/>
    <col min="5" max="5" width="2.875" style="2" customWidth="1"/>
    <col min="6" max="6" width="5.125" style="2" customWidth="1"/>
    <col min="7" max="7" width="2.875" style="2" customWidth="1"/>
    <col min="8" max="8" width="5.125" style="2" customWidth="1"/>
    <col min="9" max="9" width="3" style="2" customWidth="1"/>
    <col min="10" max="10" width="5.125" style="2" customWidth="1"/>
    <col min="11" max="19" width="3" style="2" customWidth="1"/>
    <col min="20" max="20" width="2.5" style="2" customWidth="1"/>
    <col min="21" max="23" width="3" style="2" customWidth="1"/>
    <col min="24" max="24" width="2.625" style="2" customWidth="1"/>
    <col min="25" max="25" width="2.875" style="2" customWidth="1"/>
    <col min="26" max="26" width="3.5" style="2" customWidth="1"/>
    <col min="27" max="27" width="3" style="2" customWidth="1"/>
    <col min="28" max="28" width="9.5" style="162" customWidth="1"/>
    <col min="29" max="29" width="3" style="2" customWidth="1"/>
    <col min="30" max="30" width="3.875" style="2" hidden="1" customWidth="1"/>
    <col min="31" max="32" width="3" style="2" hidden="1" customWidth="1"/>
    <col min="33" max="33" width="5.375" style="2" hidden="1" customWidth="1"/>
    <col min="34" max="36" width="3" style="2" customWidth="1"/>
    <col min="37" max="37" width="4.5" style="22" customWidth="1"/>
    <col min="38" max="40" width="3" style="22" customWidth="1"/>
    <col min="41" max="41" width="6.375" style="22" customWidth="1"/>
    <col min="42" max="16384" width="3" style="2"/>
  </cols>
  <sheetData>
    <row r="1" spans="1:41" ht="18" customHeight="1" thickBot="1">
      <c r="A1" s="1" t="s">
        <v>37</v>
      </c>
      <c r="L1" s="43" t="str">
        <f>IF(第１号様式!$H$21="","",第１号様式!$H$21)</f>
        <v/>
      </c>
    </row>
    <row r="2" spans="1:41" s="192" customFormat="1" ht="18" customHeight="1">
      <c r="A2" s="309" t="s">
        <v>785</v>
      </c>
      <c r="B2" s="310"/>
      <c r="C2" s="310"/>
      <c r="D2" s="310"/>
      <c r="E2" s="310"/>
      <c r="F2" s="310"/>
      <c r="G2" s="310"/>
      <c r="H2" s="310"/>
      <c r="I2" s="310"/>
      <c r="J2" s="310"/>
      <c r="K2" s="310"/>
      <c r="L2" s="310"/>
      <c r="M2" s="310"/>
      <c r="N2" s="310"/>
      <c r="O2" s="310"/>
      <c r="P2" s="310"/>
      <c r="Q2" s="310"/>
      <c r="R2" s="310"/>
      <c r="S2" s="310"/>
      <c r="T2" s="310"/>
      <c r="U2" s="310"/>
      <c r="V2" s="310"/>
      <c r="W2" s="310"/>
      <c r="X2" s="310"/>
      <c r="Y2" s="310"/>
      <c r="Z2" s="311"/>
      <c r="AG2" s="22"/>
      <c r="AH2" s="22"/>
      <c r="AI2" s="22"/>
      <c r="AJ2" s="22"/>
      <c r="AK2" s="22"/>
    </row>
    <row r="3" spans="1:41" s="192" customFormat="1" ht="18" customHeight="1">
      <c r="A3" s="303" t="s">
        <v>605</v>
      </c>
      <c r="B3" s="315"/>
      <c r="C3" s="315"/>
      <c r="D3" s="315"/>
      <c r="E3" s="315"/>
      <c r="F3" s="315"/>
      <c r="G3" s="315"/>
      <c r="H3" s="315"/>
      <c r="I3" s="315"/>
      <c r="J3" s="315"/>
      <c r="K3" s="315"/>
      <c r="L3" s="316"/>
      <c r="M3" s="501"/>
      <c r="N3" s="502"/>
      <c r="O3" s="502"/>
      <c r="P3" s="502"/>
      <c r="Q3" s="502"/>
      <c r="R3" s="502"/>
      <c r="S3" s="502"/>
      <c r="T3" s="502"/>
      <c r="U3" s="502"/>
      <c r="V3" s="502"/>
      <c r="W3" s="502"/>
      <c r="X3" s="502"/>
      <c r="Y3" s="502"/>
      <c r="Z3" s="503"/>
      <c r="AG3" s="22"/>
      <c r="AH3" s="22"/>
      <c r="AI3" s="22"/>
      <c r="AJ3" s="22"/>
      <c r="AK3" s="22"/>
    </row>
    <row r="4" spans="1:41" s="192" customFormat="1" ht="18" customHeight="1">
      <c r="A4" s="303" t="s">
        <v>606</v>
      </c>
      <c r="B4" s="304"/>
      <c r="C4" s="304"/>
      <c r="D4" s="304"/>
      <c r="E4" s="304"/>
      <c r="F4" s="304"/>
      <c r="G4" s="304"/>
      <c r="H4" s="304"/>
      <c r="I4" s="304"/>
      <c r="J4" s="304"/>
      <c r="K4" s="304"/>
      <c r="L4" s="305"/>
      <c r="M4" s="504"/>
      <c r="N4" s="505"/>
      <c r="O4" s="505"/>
      <c r="P4" s="505"/>
      <c r="Q4" s="505"/>
      <c r="R4" s="505"/>
      <c r="S4" s="505"/>
      <c r="T4" s="505"/>
      <c r="U4" s="505"/>
      <c r="V4" s="505"/>
      <c r="W4" s="505"/>
      <c r="X4" s="71" t="s">
        <v>169</v>
      </c>
      <c r="Y4" s="72"/>
      <c r="Z4" s="73"/>
      <c r="AG4" s="22"/>
      <c r="AH4" s="22"/>
      <c r="AI4" s="22"/>
      <c r="AJ4" s="22"/>
      <c r="AK4" s="22"/>
    </row>
    <row r="5" spans="1:41" s="192" customFormat="1" ht="18" customHeight="1" thickBot="1">
      <c r="A5" s="312" t="s">
        <v>607</v>
      </c>
      <c r="B5" s="313"/>
      <c r="C5" s="313"/>
      <c r="D5" s="313"/>
      <c r="E5" s="313"/>
      <c r="F5" s="313"/>
      <c r="G5" s="313"/>
      <c r="H5" s="313"/>
      <c r="I5" s="313"/>
      <c r="J5" s="313"/>
      <c r="K5" s="313"/>
      <c r="L5" s="314"/>
      <c r="M5" s="499"/>
      <c r="N5" s="500"/>
      <c r="O5" s="500"/>
      <c r="P5" s="500"/>
      <c r="Q5" s="500"/>
      <c r="R5" s="500"/>
      <c r="S5" s="500"/>
      <c r="T5" s="500"/>
      <c r="U5" s="500"/>
      <c r="V5" s="500"/>
      <c r="W5" s="500"/>
      <c r="X5" s="55" t="s">
        <v>169</v>
      </c>
      <c r="Y5" s="74"/>
      <c r="Z5" s="75"/>
      <c r="AG5" s="22"/>
      <c r="AH5" s="22"/>
      <c r="AI5" s="22"/>
      <c r="AJ5" s="22"/>
      <c r="AK5" s="22"/>
    </row>
    <row r="6" spans="1:41">
      <c r="A6" s="447" t="s">
        <v>786</v>
      </c>
      <c r="B6" s="448"/>
      <c r="C6" s="448"/>
      <c r="D6" s="448"/>
      <c r="E6" s="448"/>
      <c r="F6" s="448"/>
      <c r="G6" s="448"/>
      <c r="H6" s="448"/>
      <c r="I6" s="448"/>
      <c r="J6" s="448"/>
      <c r="K6" s="448"/>
      <c r="L6" s="448"/>
      <c r="M6" s="448"/>
      <c r="N6" s="448"/>
      <c r="O6" s="448"/>
      <c r="P6" s="448"/>
      <c r="Q6" s="448"/>
      <c r="R6" s="448"/>
      <c r="S6" s="448"/>
      <c r="T6" s="448"/>
      <c r="U6" s="448"/>
      <c r="V6" s="448"/>
      <c r="W6" s="448"/>
      <c r="X6" s="448"/>
      <c r="Y6" s="448"/>
      <c r="Z6" s="449"/>
      <c r="AA6" s="76"/>
    </row>
    <row r="7" spans="1:41">
      <c r="A7" s="450"/>
      <c r="B7" s="451"/>
      <c r="C7" s="451"/>
      <c r="D7" s="451"/>
      <c r="E7" s="451"/>
      <c r="F7" s="451"/>
      <c r="G7" s="451"/>
      <c r="H7" s="451"/>
      <c r="I7" s="451"/>
      <c r="J7" s="451"/>
      <c r="K7" s="451"/>
      <c r="L7" s="451"/>
      <c r="M7" s="451"/>
      <c r="N7" s="451"/>
      <c r="O7" s="451"/>
      <c r="P7" s="451"/>
      <c r="Q7" s="451"/>
      <c r="R7" s="451"/>
      <c r="S7" s="451"/>
      <c r="T7" s="451"/>
      <c r="U7" s="451"/>
      <c r="V7" s="451"/>
      <c r="W7" s="451"/>
      <c r="X7" s="451"/>
      <c r="Y7" s="451"/>
      <c r="Z7" s="452"/>
      <c r="AA7" s="76"/>
      <c r="AB7" s="161" t="s">
        <v>613</v>
      </c>
    </row>
    <row r="8" spans="1:41" ht="4.5" customHeight="1">
      <c r="A8" s="77"/>
      <c r="B8" s="78"/>
      <c r="C8" s="78"/>
      <c r="D8" s="78"/>
      <c r="E8" s="78"/>
      <c r="F8" s="78"/>
      <c r="G8" s="78"/>
      <c r="H8" s="78"/>
      <c r="I8" s="78"/>
      <c r="J8" s="79"/>
      <c r="K8" s="79"/>
      <c r="L8" s="79"/>
      <c r="M8" s="79"/>
      <c r="N8" s="79"/>
      <c r="O8" s="79"/>
      <c r="P8" s="79"/>
      <c r="Q8" s="79"/>
      <c r="R8" s="79"/>
      <c r="S8" s="79"/>
      <c r="T8" s="79"/>
      <c r="U8" s="79"/>
      <c r="V8" s="79"/>
      <c r="W8" s="79"/>
      <c r="X8" s="79"/>
      <c r="Y8" s="79"/>
      <c r="Z8" s="80"/>
    </row>
    <row r="9" spans="1:41">
      <c r="A9" s="46"/>
      <c r="B9" s="506"/>
      <c r="C9" s="506"/>
      <c r="D9" s="506"/>
      <c r="E9" s="81"/>
      <c r="F9" s="507"/>
      <c r="G9" s="507"/>
      <c r="H9" s="508" t="s">
        <v>173</v>
      </c>
      <c r="I9" s="507"/>
      <c r="J9" s="507"/>
      <c r="K9" s="347" t="s">
        <v>162</v>
      </c>
      <c r="L9" s="507"/>
      <c r="M9" s="507"/>
      <c r="N9" s="347" t="s">
        <v>163</v>
      </c>
      <c r="O9" s="16"/>
      <c r="P9" s="5"/>
      <c r="Q9" s="5"/>
      <c r="R9" s="5"/>
      <c r="S9" s="5"/>
      <c r="T9" s="5"/>
      <c r="U9" s="82"/>
      <c r="V9" s="82"/>
      <c r="W9" s="82"/>
      <c r="X9" s="82"/>
      <c r="Y9" s="82"/>
      <c r="Z9" s="47"/>
      <c r="AB9" s="161" t="str">
        <f>IF(F9="","",AD9&amp;TEXT((DATE(F9,I9,L9)),"yymmdd"))</f>
        <v/>
      </c>
      <c r="AD9" s="83" t="str">
        <f>IF(B9="","",VLOOKUP(B9,$AE$9:$AF$13,2,FALSE))</f>
        <v/>
      </c>
      <c r="AE9" s="34" t="s">
        <v>578</v>
      </c>
      <c r="AF9" s="34" t="s">
        <v>579</v>
      </c>
      <c r="AI9" s="84"/>
      <c r="AJ9" s="84"/>
      <c r="AK9" s="84"/>
      <c r="AL9" s="84"/>
    </row>
    <row r="10" spans="1:41" ht="15.75" customHeight="1">
      <c r="A10" s="48"/>
      <c r="B10" s="506"/>
      <c r="C10" s="506"/>
      <c r="D10" s="506"/>
      <c r="E10" s="81"/>
      <c r="F10" s="507"/>
      <c r="G10" s="507"/>
      <c r="H10" s="508"/>
      <c r="I10" s="507"/>
      <c r="J10" s="507"/>
      <c r="K10" s="347"/>
      <c r="L10" s="507"/>
      <c r="M10" s="507"/>
      <c r="N10" s="347"/>
      <c r="O10" s="16"/>
      <c r="P10" s="5"/>
      <c r="Q10" s="5"/>
      <c r="R10" s="5"/>
      <c r="S10" s="5"/>
      <c r="T10" s="5"/>
      <c r="U10" s="82"/>
      <c r="V10" s="82"/>
      <c r="W10" s="82"/>
      <c r="X10" s="82"/>
      <c r="Y10" s="82"/>
      <c r="Z10" s="47"/>
      <c r="AE10" s="34" t="s">
        <v>580</v>
      </c>
      <c r="AF10" s="34" t="s">
        <v>581</v>
      </c>
    </row>
    <row r="11" spans="1:41" ht="4.5" customHeight="1" thickBot="1">
      <c r="A11" s="85"/>
      <c r="B11" s="86"/>
      <c r="C11" s="86"/>
      <c r="D11" s="86"/>
      <c r="E11" s="86"/>
      <c r="F11" s="86"/>
      <c r="G11" s="86"/>
      <c r="H11" s="86"/>
      <c r="I11" s="86"/>
      <c r="J11" s="87"/>
      <c r="K11" s="88"/>
      <c r="L11" s="88"/>
      <c r="M11" s="88"/>
      <c r="N11" s="88"/>
      <c r="O11" s="88"/>
      <c r="P11" s="88"/>
      <c r="Q11" s="88"/>
      <c r="R11" s="88"/>
      <c r="S11" s="88"/>
      <c r="T11" s="88"/>
      <c r="U11" s="88"/>
      <c r="V11" s="88"/>
      <c r="W11" s="88"/>
      <c r="X11" s="88"/>
      <c r="Y11" s="88"/>
      <c r="Z11" s="89"/>
      <c r="AE11" s="34" t="s">
        <v>582</v>
      </c>
      <c r="AF11" s="34" t="s">
        <v>583</v>
      </c>
    </row>
    <row r="12" spans="1:41">
      <c r="A12" s="447" t="s">
        <v>787</v>
      </c>
      <c r="B12" s="448"/>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9"/>
      <c r="AA12" s="76"/>
      <c r="AB12" s="163"/>
      <c r="AE12" s="34" t="s">
        <v>584</v>
      </c>
      <c r="AF12" s="34" t="s">
        <v>585</v>
      </c>
    </row>
    <row r="13" spans="1:41">
      <c r="A13" s="450"/>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2"/>
      <c r="AA13" s="76"/>
      <c r="AB13" s="163"/>
      <c r="AE13" s="34" t="s">
        <v>586</v>
      </c>
      <c r="AF13" s="34" t="s">
        <v>587</v>
      </c>
    </row>
    <row r="14" spans="1:41" ht="20.100000000000001" customHeight="1">
      <c r="A14" s="453" t="s">
        <v>39</v>
      </c>
      <c r="B14" s="454"/>
      <c r="C14" s="454"/>
      <c r="D14" s="454"/>
      <c r="E14" s="454"/>
      <c r="F14" s="454"/>
      <c r="G14" s="454"/>
      <c r="H14" s="455"/>
      <c r="I14" s="456" t="s">
        <v>60</v>
      </c>
      <c r="J14" s="457"/>
      <c r="K14" s="457"/>
      <c r="L14" s="457"/>
      <c r="M14" s="457"/>
      <c r="N14" s="457"/>
      <c r="O14" s="457"/>
      <c r="P14" s="458"/>
      <c r="Q14" s="462" t="s">
        <v>61</v>
      </c>
      <c r="R14" s="454"/>
      <c r="S14" s="454"/>
      <c r="T14" s="454"/>
      <c r="U14" s="454"/>
      <c r="V14" s="454"/>
      <c r="W14" s="454"/>
      <c r="X14" s="454"/>
      <c r="Y14" s="454"/>
      <c r="Z14" s="463"/>
    </row>
    <row r="15" spans="1:41" ht="20.100000000000001" customHeight="1">
      <c r="A15" s="349"/>
      <c r="B15" s="350"/>
      <c r="C15" s="350"/>
      <c r="D15" s="350"/>
      <c r="E15" s="350"/>
      <c r="F15" s="350"/>
      <c r="G15" s="350"/>
      <c r="H15" s="351"/>
      <c r="I15" s="459" t="s">
        <v>59</v>
      </c>
      <c r="J15" s="460"/>
      <c r="K15" s="460"/>
      <c r="L15" s="460"/>
      <c r="M15" s="460"/>
      <c r="N15" s="460"/>
      <c r="O15" s="460"/>
      <c r="P15" s="461"/>
      <c r="Q15" s="379"/>
      <c r="R15" s="350"/>
      <c r="S15" s="350"/>
      <c r="T15" s="350"/>
      <c r="U15" s="350"/>
      <c r="V15" s="350"/>
      <c r="W15" s="350"/>
      <c r="X15" s="350"/>
      <c r="Y15" s="350"/>
      <c r="Z15" s="464"/>
      <c r="AB15" s="161" t="s">
        <v>613</v>
      </c>
      <c r="AD15" s="193" t="s">
        <v>558</v>
      </c>
      <c r="AN15" s="21"/>
    </row>
    <row r="16" spans="1:41" ht="20.100000000000001" customHeight="1">
      <c r="A16" s="474"/>
      <c r="B16" s="475"/>
      <c r="C16" s="475"/>
      <c r="D16" s="475"/>
      <c r="E16" s="475"/>
      <c r="F16" s="475"/>
      <c r="G16" s="475"/>
      <c r="H16" s="476"/>
      <c r="I16" s="467"/>
      <c r="J16" s="468"/>
      <c r="K16" s="28"/>
      <c r="L16" s="90" t="s">
        <v>173</v>
      </c>
      <c r="M16" s="28"/>
      <c r="N16" s="90" t="s">
        <v>594</v>
      </c>
      <c r="O16" s="28"/>
      <c r="P16" s="91" t="s">
        <v>163</v>
      </c>
      <c r="Q16" s="443"/>
      <c r="R16" s="444"/>
      <c r="S16" s="444"/>
      <c r="T16" s="444"/>
      <c r="U16" s="444"/>
      <c r="V16" s="444"/>
      <c r="W16" s="444"/>
      <c r="X16" s="444"/>
      <c r="Y16" s="444"/>
      <c r="Z16" s="445"/>
      <c r="AB16" s="161" t="str">
        <f t="shared" ref="AB16:AB27" si="0">IF(K16="","",AD16&amp;TEXT((DATE(K16,M16,O16)),"yymmdd"))</f>
        <v/>
      </c>
      <c r="AC16" s="92"/>
      <c r="AD16" s="193" t="s">
        <v>559</v>
      </c>
      <c r="AE16" s="92"/>
      <c r="AF16" s="92"/>
      <c r="AG16" s="92"/>
      <c r="AH16" s="92"/>
      <c r="AI16" s="92"/>
      <c r="AJ16" s="92"/>
      <c r="AK16" s="92"/>
      <c r="AL16" s="92"/>
      <c r="AN16" s="21"/>
      <c r="AO16" s="21"/>
    </row>
    <row r="17" spans="1:41" ht="20.100000000000001" customHeight="1">
      <c r="A17" s="477"/>
      <c r="B17" s="478"/>
      <c r="C17" s="478"/>
      <c r="D17" s="478"/>
      <c r="E17" s="478"/>
      <c r="F17" s="478"/>
      <c r="G17" s="478"/>
      <c r="H17" s="479"/>
      <c r="I17" s="465"/>
      <c r="J17" s="466"/>
      <c r="K17" s="29"/>
      <c r="L17" s="93" t="s">
        <v>173</v>
      </c>
      <c r="M17" s="29"/>
      <c r="N17" s="93" t="s">
        <v>594</v>
      </c>
      <c r="O17" s="29"/>
      <c r="P17" s="94" t="s">
        <v>163</v>
      </c>
      <c r="Q17" s="446"/>
      <c r="R17" s="360"/>
      <c r="S17" s="360"/>
      <c r="T17" s="360"/>
      <c r="U17" s="360"/>
      <c r="V17" s="360"/>
      <c r="W17" s="360"/>
      <c r="X17" s="360"/>
      <c r="Y17" s="360"/>
      <c r="Z17" s="361"/>
      <c r="AB17" s="161" t="str">
        <f t="shared" si="0"/>
        <v/>
      </c>
      <c r="AC17" s="92"/>
      <c r="AD17" s="193" t="s">
        <v>560</v>
      </c>
      <c r="AE17" s="92"/>
      <c r="AF17" s="92"/>
      <c r="AG17" s="92"/>
      <c r="AH17" s="92"/>
      <c r="AI17" s="92"/>
      <c r="AJ17" s="92"/>
      <c r="AK17" s="92"/>
      <c r="AL17" s="92"/>
      <c r="AN17" s="21"/>
      <c r="AO17" s="21"/>
    </row>
    <row r="18" spans="1:41" ht="20.100000000000001" customHeight="1">
      <c r="A18" s="474"/>
      <c r="B18" s="475"/>
      <c r="C18" s="475"/>
      <c r="D18" s="475"/>
      <c r="E18" s="475"/>
      <c r="F18" s="475"/>
      <c r="G18" s="475"/>
      <c r="H18" s="476"/>
      <c r="I18" s="467"/>
      <c r="J18" s="468"/>
      <c r="K18" s="28"/>
      <c r="L18" s="90" t="s">
        <v>173</v>
      </c>
      <c r="M18" s="28"/>
      <c r="N18" s="90" t="s">
        <v>594</v>
      </c>
      <c r="O18" s="28"/>
      <c r="P18" s="91" t="s">
        <v>163</v>
      </c>
      <c r="Q18" s="443"/>
      <c r="R18" s="444"/>
      <c r="S18" s="444"/>
      <c r="T18" s="444"/>
      <c r="U18" s="444"/>
      <c r="V18" s="444"/>
      <c r="W18" s="444"/>
      <c r="X18" s="444"/>
      <c r="Y18" s="444"/>
      <c r="Z18" s="445"/>
      <c r="AB18" s="161" t="str">
        <f t="shared" si="0"/>
        <v/>
      </c>
      <c r="AC18" s="95"/>
      <c r="AD18" s="193" t="s">
        <v>561</v>
      </c>
      <c r="AE18" s="95"/>
      <c r="AF18" s="95"/>
      <c r="AG18" s="95"/>
      <c r="AH18" s="95"/>
      <c r="AI18" s="95"/>
      <c r="AJ18" s="95"/>
      <c r="AK18" s="95"/>
      <c r="AL18" s="95"/>
      <c r="AN18" s="21"/>
      <c r="AO18" s="21"/>
    </row>
    <row r="19" spans="1:41" ht="20.100000000000001" customHeight="1">
      <c r="A19" s="477"/>
      <c r="B19" s="478"/>
      <c r="C19" s="478"/>
      <c r="D19" s="478"/>
      <c r="E19" s="478"/>
      <c r="F19" s="478"/>
      <c r="G19" s="478"/>
      <c r="H19" s="479"/>
      <c r="I19" s="465"/>
      <c r="J19" s="466"/>
      <c r="K19" s="29"/>
      <c r="L19" s="93" t="s">
        <v>173</v>
      </c>
      <c r="M19" s="29"/>
      <c r="N19" s="93" t="s">
        <v>594</v>
      </c>
      <c r="O19" s="29"/>
      <c r="P19" s="94" t="s">
        <v>163</v>
      </c>
      <c r="Q19" s="446"/>
      <c r="R19" s="360"/>
      <c r="S19" s="360"/>
      <c r="T19" s="360"/>
      <c r="U19" s="360"/>
      <c r="V19" s="360"/>
      <c r="W19" s="360"/>
      <c r="X19" s="360"/>
      <c r="Y19" s="360"/>
      <c r="Z19" s="361"/>
      <c r="AB19" s="161" t="str">
        <f t="shared" si="0"/>
        <v/>
      </c>
      <c r="AC19" s="95"/>
      <c r="AD19" s="193" t="s">
        <v>562</v>
      </c>
      <c r="AE19" s="95"/>
      <c r="AF19" s="95"/>
      <c r="AG19" s="95"/>
      <c r="AH19" s="95"/>
      <c r="AI19" s="95"/>
      <c r="AJ19" s="95"/>
      <c r="AK19" s="95"/>
      <c r="AL19" s="95"/>
      <c r="AN19" s="21"/>
      <c r="AO19" s="21"/>
    </row>
    <row r="20" spans="1:41" ht="20.100000000000001" customHeight="1">
      <c r="A20" s="474"/>
      <c r="B20" s="475"/>
      <c r="C20" s="475"/>
      <c r="D20" s="475"/>
      <c r="E20" s="475"/>
      <c r="F20" s="475"/>
      <c r="G20" s="475"/>
      <c r="H20" s="476"/>
      <c r="I20" s="467"/>
      <c r="J20" s="468"/>
      <c r="K20" s="28"/>
      <c r="L20" s="90" t="s">
        <v>592</v>
      </c>
      <c r="M20" s="28"/>
      <c r="N20" s="90" t="s">
        <v>594</v>
      </c>
      <c r="O20" s="28"/>
      <c r="P20" s="91" t="s">
        <v>593</v>
      </c>
      <c r="Q20" s="443"/>
      <c r="R20" s="444"/>
      <c r="S20" s="444"/>
      <c r="T20" s="444"/>
      <c r="U20" s="444"/>
      <c r="V20" s="444"/>
      <c r="W20" s="444"/>
      <c r="X20" s="444"/>
      <c r="Y20" s="444"/>
      <c r="Z20" s="445"/>
      <c r="AB20" s="161" t="str">
        <f t="shared" si="0"/>
        <v/>
      </c>
      <c r="AC20" s="95"/>
      <c r="AD20" s="193" t="s">
        <v>563</v>
      </c>
      <c r="AE20" s="95"/>
      <c r="AF20" s="95"/>
      <c r="AG20" s="95"/>
      <c r="AH20" s="95"/>
      <c r="AI20" s="95"/>
      <c r="AJ20" s="95"/>
      <c r="AK20" s="95"/>
      <c r="AL20" s="95"/>
      <c r="AN20" s="21"/>
      <c r="AO20" s="21"/>
    </row>
    <row r="21" spans="1:41" ht="20.100000000000001" customHeight="1">
      <c r="A21" s="477"/>
      <c r="B21" s="478"/>
      <c r="C21" s="478"/>
      <c r="D21" s="478"/>
      <c r="E21" s="478"/>
      <c r="F21" s="478"/>
      <c r="G21" s="478"/>
      <c r="H21" s="479"/>
      <c r="I21" s="465"/>
      <c r="J21" s="466"/>
      <c r="K21" s="29"/>
      <c r="L21" s="93" t="s">
        <v>592</v>
      </c>
      <c r="M21" s="29"/>
      <c r="N21" s="93" t="s">
        <v>594</v>
      </c>
      <c r="O21" s="29"/>
      <c r="P21" s="94" t="s">
        <v>593</v>
      </c>
      <c r="Q21" s="446"/>
      <c r="R21" s="360"/>
      <c r="S21" s="360"/>
      <c r="T21" s="360"/>
      <c r="U21" s="360"/>
      <c r="V21" s="360"/>
      <c r="W21" s="360"/>
      <c r="X21" s="360"/>
      <c r="Y21" s="360"/>
      <c r="Z21" s="361"/>
      <c r="AB21" s="161" t="str">
        <f t="shared" si="0"/>
        <v/>
      </c>
      <c r="AC21" s="95"/>
      <c r="AD21" s="193" t="s">
        <v>564</v>
      </c>
      <c r="AE21" s="95"/>
      <c r="AF21" s="95"/>
      <c r="AG21" s="95"/>
      <c r="AH21" s="95"/>
      <c r="AI21" s="95"/>
      <c r="AJ21" s="95"/>
      <c r="AK21" s="95"/>
      <c r="AL21" s="95"/>
      <c r="AN21" s="21"/>
      <c r="AO21" s="21"/>
    </row>
    <row r="22" spans="1:41" ht="20.100000000000001" customHeight="1">
      <c r="A22" s="474"/>
      <c r="B22" s="475"/>
      <c r="C22" s="475"/>
      <c r="D22" s="475"/>
      <c r="E22" s="475"/>
      <c r="F22" s="475"/>
      <c r="G22" s="475"/>
      <c r="H22" s="476"/>
      <c r="I22" s="467"/>
      <c r="J22" s="468"/>
      <c r="K22" s="28"/>
      <c r="L22" s="90" t="s">
        <v>592</v>
      </c>
      <c r="M22" s="28"/>
      <c r="N22" s="90" t="s">
        <v>594</v>
      </c>
      <c r="O22" s="28"/>
      <c r="P22" s="91" t="s">
        <v>593</v>
      </c>
      <c r="Q22" s="443"/>
      <c r="R22" s="444"/>
      <c r="S22" s="444"/>
      <c r="T22" s="444"/>
      <c r="U22" s="444"/>
      <c r="V22" s="444"/>
      <c r="W22" s="444"/>
      <c r="X22" s="444"/>
      <c r="Y22" s="444"/>
      <c r="Z22" s="445"/>
      <c r="AB22" s="161" t="str">
        <f t="shared" si="0"/>
        <v/>
      </c>
      <c r="AC22" s="95"/>
      <c r="AD22" s="83" t="str">
        <f t="shared" ref="AD22:AD27" si="1">IF(I22="","",VLOOKUP(I22,$AE$9:$AF$13,2,FALSE))</f>
        <v/>
      </c>
      <c r="AE22" s="95"/>
      <c r="AF22" s="95"/>
      <c r="AG22" s="95"/>
      <c r="AH22" s="95"/>
      <c r="AI22" s="95"/>
      <c r="AJ22" s="95"/>
      <c r="AK22" s="95"/>
      <c r="AL22" s="95"/>
      <c r="AN22" s="21"/>
      <c r="AO22" s="21"/>
    </row>
    <row r="23" spans="1:41" ht="20.100000000000001" customHeight="1">
      <c r="A23" s="477"/>
      <c r="B23" s="478"/>
      <c r="C23" s="478"/>
      <c r="D23" s="478"/>
      <c r="E23" s="478"/>
      <c r="F23" s="478"/>
      <c r="G23" s="478"/>
      <c r="H23" s="479"/>
      <c r="I23" s="465"/>
      <c r="J23" s="466"/>
      <c r="K23" s="29"/>
      <c r="L23" s="93" t="s">
        <v>592</v>
      </c>
      <c r="M23" s="29"/>
      <c r="N23" s="93" t="s">
        <v>594</v>
      </c>
      <c r="O23" s="29"/>
      <c r="P23" s="94" t="s">
        <v>593</v>
      </c>
      <c r="Q23" s="446"/>
      <c r="R23" s="360"/>
      <c r="S23" s="360"/>
      <c r="T23" s="360"/>
      <c r="U23" s="360"/>
      <c r="V23" s="360"/>
      <c r="W23" s="360"/>
      <c r="X23" s="360"/>
      <c r="Y23" s="360"/>
      <c r="Z23" s="361"/>
      <c r="AB23" s="161" t="str">
        <f t="shared" si="0"/>
        <v/>
      </c>
      <c r="AC23" s="95"/>
      <c r="AD23" s="83" t="str">
        <f t="shared" si="1"/>
        <v/>
      </c>
      <c r="AE23" s="95"/>
      <c r="AF23" s="95"/>
      <c r="AG23" s="95"/>
      <c r="AH23" s="95"/>
      <c r="AI23" s="95"/>
      <c r="AJ23" s="95"/>
      <c r="AK23" s="95"/>
      <c r="AL23" s="95"/>
      <c r="AN23" s="21"/>
      <c r="AO23" s="21"/>
    </row>
    <row r="24" spans="1:41" ht="20.100000000000001" customHeight="1">
      <c r="A24" s="474"/>
      <c r="B24" s="475"/>
      <c r="C24" s="475"/>
      <c r="D24" s="475"/>
      <c r="E24" s="475"/>
      <c r="F24" s="475"/>
      <c r="G24" s="475"/>
      <c r="H24" s="476"/>
      <c r="I24" s="467"/>
      <c r="J24" s="468"/>
      <c r="K24" s="28"/>
      <c r="L24" s="90" t="s">
        <v>592</v>
      </c>
      <c r="M24" s="28"/>
      <c r="N24" s="90" t="s">
        <v>594</v>
      </c>
      <c r="O24" s="28"/>
      <c r="P24" s="91" t="s">
        <v>593</v>
      </c>
      <c r="Q24" s="443"/>
      <c r="R24" s="444"/>
      <c r="S24" s="444"/>
      <c r="T24" s="444"/>
      <c r="U24" s="444"/>
      <c r="V24" s="444"/>
      <c r="W24" s="444"/>
      <c r="X24" s="444"/>
      <c r="Y24" s="444"/>
      <c r="Z24" s="445"/>
      <c r="AB24" s="161" t="str">
        <f t="shared" si="0"/>
        <v/>
      </c>
      <c r="AC24" s="95"/>
      <c r="AD24" s="83" t="str">
        <f t="shared" si="1"/>
        <v/>
      </c>
      <c r="AE24" s="95"/>
      <c r="AF24" s="95"/>
      <c r="AG24" s="95"/>
      <c r="AH24" s="95"/>
      <c r="AI24" s="95"/>
      <c r="AJ24" s="95"/>
      <c r="AK24" s="95"/>
      <c r="AL24" s="95"/>
      <c r="AN24" s="21"/>
      <c r="AO24" s="21"/>
    </row>
    <row r="25" spans="1:41" ht="20.100000000000001" customHeight="1">
      <c r="A25" s="477"/>
      <c r="B25" s="478"/>
      <c r="C25" s="478"/>
      <c r="D25" s="478"/>
      <c r="E25" s="478"/>
      <c r="F25" s="478"/>
      <c r="G25" s="478"/>
      <c r="H25" s="479"/>
      <c r="I25" s="465"/>
      <c r="J25" s="466"/>
      <c r="K25" s="29"/>
      <c r="L25" s="93" t="s">
        <v>592</v>
      </c>
      <c r="M25" s="29"/>
      <c r="N25" s="93" t="s">
        <v>594</v>
      </c>
      <c r="O25" s="29"/>
      <c r="P25" s="94" t="s">
        <v>593</v>
      </c>
      <c r="Q25" s="446"/>
      <c r="R25" s="360"/>
      <c r="S25" s="360"/>
      <c r="T25" s="360"/>
      <c r="U25" s="360"/>
      <c r="V25" s="360"/>
      <c r="W25" s="360"/>
      <c r="X25" s="360"/>
      <c r="Y25" s="360"/>
      <c r="Z25" s="361"/>
      <c r="AB25" s="161" t="str">
        <f t="shared" si="0"/>
        <v/>
      </c>
      <c r="AC25" s="95"/>
      <c r="AD25" s="83" t="str">
        <f t="shared" si="1"/>
        <v/>
      </c>
      <c r="AE25" s="95"/>
      <c r="AF25" s="95"/>
      <c r="AG25" s="95"/>
      <c r="AH25" s="95"/>
      <c r="AI25" s="95"/>
      <c r="AJ25" s="95"/>
      <c r="AK25" s="95"/>
      <c r="AL25" s="95"/>
      <c r="AN25" s="21"/>
      <c r="AO25" s="21"/>
    </row>
    <row r="26" spans="1:41" ht="20.100000000000001" customHeight="1">
      <c r="A26" s="474"/>
      <c r="B26" s="475"/>
      <c r="C26" s="475"/>
      <c r="D26" s="475"/>
      <c r="E26" s="475"/>
      <c r="F26" s="475"/>
      <c r="G26" s="475"/>
      <c r="H26" s="476"/>
      <c r="I26" s="467"/>
      <c r="J26" s="468"/>
      <c r="K26" s="28"/>
      <c r="L26" s="90" t="s">
        <v>592</v>
      </c>
      <c r="M26" s="28"/>
      <c r="N26" s="90" t="s">
        <v>594</v>
      </c>
      <c r="O26" s="28"/>
      <c r="P26" s="91" t="s">
        <v>593</v>
      </c>
      <c r="Q26" s="443"/>
      <c r="R26" s="444"/>
      <c r="S26" s="444"/>
      <c r="T26" s="444"/>
      <c r="U26" s="444"/>
      <c r="V26" s="444"/>
      <c r="W26" s="444"/>
      <c r="X26" s="444"/>
      <c r="Y26" s="444"/>
      <c r="Z26" s="445"/>
      <c r="AB26" s="161" t="str">
        <f t="shared" si="0"/>
        <v/>
      </c>
      <c r="AC26" s="95"/>
      <c r="AD26" s="83" t="str">
        <f t="shared" si="1"/>
        <v/>
      </c>
      <c r="AE26" s="95"/>
      <c r="AF26" s="95"/>
      <c r="AG26" s="95"/>
      <c r="AH26" s="95"/>
      <c r="AI26" s="95"/>
      <c r="AJ26" s="95"/>
      <c r="AK26" s="95"/>
      <c r="AL26" s="95"/>
      <c r="AN26" s="21"/>
      <c r="AO26" s="21"/>
    </row>
    <row r="27" spans="1:41" ht="20.100000000000001" customHeight="1">
      <c r="A27" s="477"/>
      <c r="B27" s="478"/>
      <c r="C27" s="478"/>
      <c r="D27" s="478"/>
      <c r="E27" s="478"/>
      <c r="F27" s="478"/>
      <c r="G27" s="478"/>
      <c r="H27" s="479"/>
      <c r="I27" s="465"/>
      <c r="J27" s="466"/>
      <c r="K27" s="29"/>
      <c r="L27" s="93" t="s">
        <v>592</v>
      </c>
      <c r="M27" s="29"/>
      <c r="N27" s="93" t="s">
        <v>594</v>
      </c>
      <c r="O27" s="29"/>
      <c r="P27" s="94" t="s">
        <v>593</v>
      </c>
      <c r="Q27" s="446"/>
      <c r="R27" s="360"/>
      <c r="S27" s="360"/>
      <c r="T27" s="360"/>
      <c r="U27" s="360"/>
      <c r="V27" s="360"/>
      <c r="W27" s="360"/>
      <c r="X27" s="360"/>
      <c r="Y27" s="360"/>
      <c r="Z27" s="361"/>
      <c r="AB27" s="161" t="str">
        <f t="shared" si="0"/>
        <v/>
      </c>
      <c r="AC27" s="95"/>
      <c r="AD27" s="83" t="str">
        <f t="shared" si="1"/>
        <v/>
      </c>
      <c r="AE27" s="95"/>
      <c r="AF27" s="95"/>
      <c r="AG27" s="95"/>
      <c r="AH27" s="95"/>
      <c r="AI27" s="95"/>
      <c r="AJ27" s="95"/>
      <c r="AK27" s="95"/>
      <c r="AL27" s="95"/>
      <c r="AO27" s="21"/>
    </row>
    <row r="28" spans="1:41" ht="8.25" customHeight="1">
      <c r="A28" s="96"/>
      <c r="B28" s="51"/>
      <c r="C28" s="51"/>
      <c r="D28" s="51"/>
      <c r="E28" s="51"/>
      <c r="F28" s="51"/>
      <c r="G28" s="51"/>
      <c r="H28" s="51"/>
      <c r="I28" s="51"/>
      <c r="J28" s="51"/>
      <c r="K28" s="51"/>
      <c r="L28" s="51"/>
      <c r="M28" s="51"/>
      <c r="N28" s="51"/>
      <c r="O28" s="51"/>
      <c r="P28" s="51"/>
      <c r="Q28" s="51"/>
      <c r="R28" s="51"/>
      <c r="S28" s="51"/>
      <c r="T28" s="51"/>
      <c r="U28" s="51"/>
      <c r="V28" s="51"/>
      <c r="W28" s="51"/>
      <c r="X28" s="51"/>
      <c r="Y28" s="51"/>
      <c r="Z28" s="53"/>
      <c r="AC28" s="70"/>
      <c r="AD28" s="70"/>
      <c r="AE28" s="70"/>
      <c r="AF28" s="70"/>
      <c r="AG28" s="70"/>
      <c r="AH28" s="70"/>
      <c r="AI28" s="70"/>
      <c r="AJ28" s="70"/>
    </row>
    <row r="29" spans="1:41" ht="15" customHeight="1">
      <c r="A29" s="383" t="s">
        <v>4</v>
      </c>
      <c r="B29" s="384"/>
      <c r="C29" s="97" t="s">
        <v>609</v>
      </c>
      <c r="D29" s="16"/>
      <c r="E29" s="16"/>
      <c r="F29" s="16"/>
      <c r="G29" s="16"/>
      <c r="H29" s="16"/>
      <c r="I29" s="16"/>
      <c r="J29" s="16"/>
      <c r="K29" s="16"/>
      <c r="L29" s="16"/>
      <c r="M29" s="16"/>
      <c r="N29" s="16"/>
      <c r="O29" s="16"/>
      <c r="P29" s="16"/>
      <c r="Q29" s="16"/>
      <c r="R29" s="16"/>
      <c r="S29" s="16"/>
      <c r="T29" s="16"/>
      <c r="U29" s="16"/>
      <c r="V29" s="16"/>
      <c r="W29" s="16"/>
      <c r="X29" s="16"/>
      <c r="Y29" s="16"/>
      <c r="Z29" s="45"/>
      <c r="AC29" s="70"/>
      <c r="AD29" s="70"/>
      <c r="AE29" s="70"/>
      <c r="AF29" s="70"/>
      <c r="AG29" s="70"/>
      <c r="AH29" s="70"/>
      <c r="AI29" s="70"/>
      <c r="AJ29" s="70"/>
    </row>
    <row r="30" spans="1:41" ht="3" customHeight="1">
      <c r="A30" s="57"/>
      <c r="B30" s="58"/>
      <c r="C30" s="97"/>
      <c r="D30" s="16"/>
      <c r="E30" s="16"/>
      <c r="F30" s="16"/>
      <c r="G30" s="16"/>
      <c r="H30" s="16"/>
      <c r="I30" s="16"/>
      <c r="J30" s="16"/>
      <c r="K30" s="16"/>
      <c r="L30" s="16"/>
      <c r="M30" s="16"/>
      <c r="N30" s="16"/>
      <c r="O30" s="16"/>
      <c r="P30" s="16"/>
      <c r="Q30" s="16"/>
      <c r="R30" s="16"/>
      <c r="S30" s="16"/>
      <c r="T30" s="16"/>
      <c r="U30" s="16"/>
      <c r="V30" s="16"/>
      <c r="W30" s="16"/>
      <c r="X30" s="16"/>
      <c r="Y30" s="16"/>
      <c r="Z30" s="45"/>
      <c r="AC30" s="70"/>
      <c r="AD30" s="70"/>
      <c r="AE30" s="70"/>
      <c r="AF30" s="70"/>
      <c r="AG30" s="70"/>
      <c r="AH30" s="70"/>
      <c r="AI30" s="70"/>
      <c r="AJ30" s="70"/>
    </row>
    <row r="31" spans="1:41" ht="15" customHeight="1">
      <c r="A31" s="48"/>
      <c r="B31" s="16"/>
      <c r="C31" s="97" t="s">
        <v>608</v>
      </c>
      <c r="D31" s="16"/>
      <c r="E31" s="16"/>
      <c r="F31" s="16"/>
      <c r="G31" s="16"/>
      <c r="H31" s="16"/>
      <c r="I31" s="16"/>
      <c r="J31" s="16"/>
      <c r="K31" s="16"/>
      <c r="L31" s="16"/>
      <c r="M31" s="16"/>
      <c r="N31" s="16"/>
      <c r="O31" s="16"/>
      <c r="P31" s="16"/>
      <c r="Q31" s="16"/>
      <c r="R31" s="16"/>
      <c r="S31" s="16"/>
      <c r="T31" s="16"/>
      <c r="U31" s="16"/>
      <c r="V31" s="16"/>
      <c r="W31" s="16"/>
      <c r="X31" s="16"/>
      <c r="Y31" s="16"/>
      <c r="Z31" s="45"/>
      <c r="AC31" s="70"/>
      <c r="AD31" s="70"/>
      <c r="AE31" s="70"/>
      <c r="AF31" s="70"/>
      <c r="AG31" s="70"/>
      <c r="AH31" s="70"/>
      <c r="AI31" s="70"/>
      <c r="AJ31" s="70"/>
    </row>
    <row r="32" spans="1:41" ht="15" customHeight="1">
      <c r="A32" s="48"/>
      <c r="B32" s="16"/>
      <c r="C32" s="97" t="s">
        <v>610</v>
      </c>
      <c r="D32" s="16"/>
      <c r="E32" s="16"/>
      <c r="F32" s="16"/>
      <c r="G32" s="16"/>
      <c r="H32" s="16"/>
      <c r="I32" s="16"/>
      <c r="J32" s="16"/>
      <c r="K32" s="16"/>
      <c r="L32" s="16"/>
      <c r="M32" s="16"/>
      <c r="N32" s="16"/>
      <c r="O32" s="16"/>
      <c r="P32" s="16"/>
      <c r="Q32" s="16"/>
      <c r="R32" s="16"/>
      <c r="S32" s="16"/>
      <c r="T32" s="16"/>
      <c r="U32" s="16"/>
      <c r="V32" s="16"/>
      <c r="W32" s="16"/>
      <c r="X32" s="16"/>
      <c r="Y32" s="16"/>
      <c r="Z32" s="45"/>
      <c r="AC32" s="70"/>
      <c r="AD32" s="70"/>
      <c r="AE32" s="70"/>
      <c r="AF32" s="70"/>
      <c r="AG32" s="70"/>
      <c r="AH32" s="70"/>
      <c r="AI32" s="70"/>
      <c r="AJ32" s="70"/>
    </row>
    <row r="33" spans="1:36" ht="8.25" customHeight="1" thickBo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6"/>
      <c r="AC33" s="70"/>
      <c r="AD33" s="70"/>
      <c r="AE33" s="70"/>
      <c r="AF33" s="70"/>
      <c r="AG33" s="70"/>
      <c r="AH33" s="70"/>
      <c r="AI33" s="70"/>
      <c r="AJ33" s="70"/>
    </row>
    <row r="34" spans="1:36">
      <c r="A34" s="447" t="s">
        <v>788</v>
      </c>
      <c r="B34" s="448"/>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9"/>
      <c r="AC34" s="70"/>
      <c r="AD34" s="70"/>
      <c r="AE34" s="70"/>
      <c r="AF34" s="70"/>
      <c r="AG34" s="70"/>
      <c r="AH34" s="70"/>
      <c r="AI34" s="70"/>
      <c r="AJ34" s="70"/>
    </row>
    <row r="35" spans="1:36">
      <c r="A35" s="450"/>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2"/>
      <c r="AC35" s="70"/>
      <c r="AD35" s="70"/>
      <c r="AE35" s="70"/>
      <c r="AF35" s="70"/>
      <c r="AG35" s="70"/>
      <c r="AH35" s="70"/>
      <c r="AI35" s="70"/>
      <c r="AJ35" s="70"/>
    </row>
    <row r="36" spans="1:36" ht="21" customHeight="1">
      <c r="A36" s="482" t="s">
        <v>62</v>
      </c>
      <c r="B36" s="419"/>
      <c r="C36" s="419"/>
      <c r="D36" s="419"/>
      <c r="E36" s="419"/>
      <c r="F36" s="419"/>
      <c r="G36" s="419"/>
      <c r="H36" s="419"/>
      <c r="I36" s="483"/>
      <c r="J36" s="487"/>
      <c r="K36" s="484"/>
      <c r="L36" s="484"/>
      <c r="M36" s="71" t="s">
        <v>173</v>
      </c>
      <c r="N36" s="65"/>
      <c r="O36" s="71" t="s">
        <v>172</v>
      </c>
      <c r="P36" s="65"/>
      <c r="Q36" s="71" t="s">
        <v>171</v>
      </c>
      <c r="R36" s="60" t="s">
        <v>7</v>
      </c>
      <c r="S36" s="484"/>
      <c r="T36" s="484"/>
      <c r="U36" s="484"/>
      <c r="V36" s="71" t="s">
        <v>173</v>
      </c>
      <c r="W36" s="65"/>
      <c r="X36" s="71" t="s">
        <v>172</v>
      </c>
      <c r="Y36" s="65"/>
      <c r="Z36" s="98" t="s">
        <v>171</v>
      </c>
      <c r="AB36" s="164"/>
      <c r="AC36" s="70"/>
      <c r="AD36" s="70"/>
      <c r="AE36" s="70"/>
      <c r="AF36" s="70"/>
      <c r="AG36" s="70"/>
      <c r="AH36" s="70"/>
      <c r="AI36" s="70"/>
      <c r="AJ36" s="70"/>
    </row>
    <row r="37" spans="1:36" ht="21" customHeight="1">
      <c r="A37" s="482" t="s">
        <v>63</v>
      </c>
      <c r="B37" s="419"/>
      <c r="C37" s="419"/>
      <c r="D37" s="419"/>
      <c r="E37" s="419"/>
      <c r="F37" s="419"/>
      <c r="G37" s="419"/>
      <c r="H37" s="419"/>
      <c r="I37" s="483"/>
      <c r="J37" s="480"/>
      <c r="K37" s="481"/>
      <c r="L37" s="481"/>
      <c r="M37" s="481"/>
      <c r="N37" s="481"/>
      <c r="O37" s="481"/>
      <c r="P37" s="481"/>
      <c r="Q37" s="481"/>
      <c r="R37" s="481"/>
      <c r="S37" s="481"/>
      <c r="T37" s="481"/>
      <c r="U37" s="481"/>
      <c r="V37" s="481"/>
      <c r="W37" s="25" t="s">
        <v>5</v>
      </c>
      <c r="X37" s="61"/>
      <c r="Y37" s="485" t="s">
        <v>499</v>
      </c>
      <c r="Z37" s="486"/>
      <c r="AC37" s="70"/>
      <c r="AD37" s="70"/>
      <c r="AE37" s="70"/>
      <c r="AF37" s="70"/>
      <c r="AG37" s="70"/>
      <c r="AH37" s="70"/>
      <c r="AI37" s="70"/>
      <c r="AJ37" s="70"/>
    </row>
    <row r="38" spans="1:36" ht="21" customHeight="1">
      <c r="A38" s="482" t="s">
        <v>6</v>
      </c>
      <c r="B38" s="419"/>
      <c r="C38" s="419"/>
      <c r="D38" s="419"/>
      <c r="E38" s="419"/>
      <c r="F38" s="419"/>
      <c r="G38" s="419"/>
      <c r="H38" s="419"/>
      <c r="I38" s="483"/>
      <c r="J38" s="480"/>
      <c r="K38" s="481"/>
      <c r="L38" s="481"/>
      <c r="M38" s="481"/>
      <c r="N38" s="481"/>
      <c r="O38" s="481"/>
      <c r="P38" s="481"/>
      <c r="Q38" s="481"/>
      <c r="R38" s="481"/>
      <c r="S38" s="481"/>
      <c r="T38" s="481"/>
      <c r="U38" s="481"/>
      <c r="V38" s="481"/>
      <c r="W38" s="25" t="s">
        <v>5</v>
      </c>
      <c r="X38" s="60"/>
      <c r="Y38" s="485" t="s">
        <v>499</v>
      </c>
      <c r="Z38" s="486"/>
      <c r="AC38" s="70"/>
      <c r="AD38" s="70"/>
      <c r="AE38" s="70"/>
      <c r="AF38" s="70"/>
      <c r="AG38" s="70"/>
      <c r="AH38" s="70"/>
      <c r="AI38" s="70"/>
      <c r="AJ38" s="70"/>
    </row>
    <row r="39" spans="1:36" ht="7.5" customHeight="1">
      <c r="A39" s="99"/>
      <c r="B39" s="100"/>
      <c r="C39" s="101"/>
      <c r="D39" s="100"/>
      <c r="E39" s="100"/>
      <c r="F39" s="100"/>
      <c r="G39" s="100"/>
      <c r="H39" s="100"/>
      <c r="I39" s="100"/>
      <c r="J39" s="100"/>
      <c r="K39" s="100"/>
      <c r="L39" s="100"/>
      <c r="M39" s="100"/>
      <c r="N39" s="100"/>
      <c r="O39" s="100"/>
      <c r="P39" s="100"/>
      <c r="Q39" s="100"/>
      <c r="R39" s="100"/>
      <c r="S39" s="100"/>
      <c r="T39" s="100"/>
      <c r="U39" s="100"/>
      <c r="V39" s="100"/>
      <c r="W39" s="100"/>
      <c r="X39" s="100"/>
      <c r="Y39" s="100"/>
      <c r="Z39" s="102"/>
    </row>
    <row r="40" spans="1:36" ht="14.1" customHeight="1">
      <c r="A40" s="103"/>
      <c r="B40" s="104" t="s">
        <v>611</v>
      </c>
      <c r="C40" s="20"/>
      <c r="D40" s="20"/>
      <c r="E40" s="20"/>
      <c r="F40" s="20"/>
      <c r="G40" s="20"/>
      <c r="H40" s="20"/>
      <c r="I40" s="20"/>
      <c r="J40" s="20"/>
      <c r="K40" s="20"/>
      <c r="L40" s="7"/>
      <c r="M40" s="7"/>
      <c r="N40" s="7"/>
      <c r="O40" s="7"/>
      <c r="P40" s="7"/>
      <c r="Q40" s="7"/>
      <c r="R40" s="7"/>
      <c r="S40" s="7"/>
      <c r="T40" s="7"/>
      <c r="U40" s="7"/>
      <c r="V40" s="7"/>
      <c r="W40" s="7"/>
      <c r="X40" s="7"/>
      <c r="Y40" s="7"/>
      <c r="Z40" s="105"/>
      <c r="AA40" s="7"/>
    </row>
    <row r="41" spans="1:36" ht="14.1" customHeight="1">
      <c r="A41" s="106"/>
      <c r="B41" s="104" t="s">
        <v>612</v>
      </c>
      <c r="C41" s="20"/>
      <c r="D41" s="20"/>
      <c r="E41" s="20"/>
      <c r="F41" s="20"/>
      <c r="G41" s="20"/>
      <c r="H41" s="20"/>
      <c r="I41" s="20"/>
      <c r="J41" s="20"/>
      <c r="K41" s="20"/>
      <c r="L41" s="7"/>
      <c r="M41" s="7"/>
      <c r="N41" s="7"/>
      <c r="O41" s="7"/>
      <c r="P41" s="7"/>
      <c r="Q41" s="7"/>
      <c r="R41" s="7"/>
      <c r="S41" s="7"/>
      <c r="T41" s="7"/>
      <c r="U41" s="7"/>
      <c r="V41" s="7"/>
      <c r="W41" s="7"/>
      <c r="X41" s="7"/>
      <c r="Y41" s="7"/>
      <c r="Z41" s="105"/>
      <c r="AA41" s="7"/>
    </row>
    <row r="42" spans="1:36" ht="6" customHeight="1" thickBot="1">
      <c r="A42" s="107"/>
      <c r="B42" s="108"/>
      <c r="C42" s="109"/>
      <c r="D42" s="108"/>
      <c r="E42" s="108"/>
      <c r="F42" s="108"/>
      <c r="G42" s="108"/>
      <c r="H42" s="108"/>
      <c r="I42" s="108"/>
      <c r="J42" s="108"/>
      <c r="K42" s="108"/>
      <c r="L42" s="108"/>
      <c r="M42" s="108"/>
      <c r="N42" s="108"/>
      <c r="O42" s="108"/>
      <c r="P42" s="108"/>
      <c r="Q42" s="108"/>
      <c r="R42" s="108"/>
      <c r="S42" s="108"/>
      <c r="T42" s="108"/>
      <c r="U42" s="108"/>
      <c r="V42" s="108"/>
      <c r="W42" s="108"/>
      <c r="X42" s="108"/>
      <c r="Y42" s="108"/>
      <c r="Z42" s="110"/>
    </row>
    <row r="43" spans="1:36">
      <c r="A43" s="447" t="s">
        <v>789</v>
      </c>
      <c r="B43" s="448"/>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9"/>
    </row>
    <row r="44" spans="1:36">
      <c r="A44" s="450"/>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2"/>
    </row>
    <row r="45" spans="1:36" ht="11.25" customHeight="1">
      <c r="A45" s="434" t="s">
        <v>8</v>
      </c>
      <c r="B45" s="488"/>
      <c r="C45" s="488"/>
      <c r="D45" s="488"/>
      <c r="E45" s="488"/>
      <c r="F45" s="488"/>
      <c r="G45" s="488"/>
      <c r="H45" s="488"/>
      <c r="I45" s="436" t="s">
        <v>565</v>
      </c>
      <c r="J45" s="488"/>
      <c r="K45" s="488"/>
      <c r="L45" s="491"/>
      <c r="M45" s="436" t="s">
        <v>8</v>
      </c>
      <c r="N45" s="488"/>
      <c r="O45" s="488"/>
      <c r="P45" s="488"/>
      <c r="Q45" s="488"/>
      <c r="R45" s="488"/>
      <c r="S45" s="488"/>
      <c r="T45" s="488"/>
      <c r="U45" s="488"/>
      <c r="V45" s="491"/>
      <c r="W45" s="436" t="s">
        <v>565</v>
      </c>
      <c r="X45" s="488"/>
      <c r="Y45" s="488"/>
      <c r="Z45" s="496"/>
    </row>
    <row r="46" spans="1:36" ht="11.25" customHeight="1">
      <c r="A46" s="489"/>
      <c r="B46" s="490"/>
      <c r="C46" s="490"/>
      <c r="D46" s="490"/>
      <c r="E46" s="490"/>
      <c r="F46" s="490"/>
      <c r="G46" s="490"/>
      <c r="H46" s="490"/>
      <c r="I46" s="492"/>
      <c r="J46" s="490"/>
      <c r="K46" s="490"/>
      <c r="L46" s="493"/>
      <c r="M46" s="492"/>
      <c r="N46" s="490"/>
      <c r="O46" s="490"/>
      <c r="P46" s="490"/>
      <c r="Q46" s="490"/>
      <c r="R46" s="490"/>
      <c r="S46" s="490"/>
      <c r="T46" s="490"/>
      <c r="U46" s="490"/>
      <c r="V46" s="493"/>
      <c r="W46" s="492"/>
      <c r="X46" s="490"/>
      <c r="Y46" s="490"/>
      <c r="Z46" s="497"/>
      <c r="AB46" s="162" t="s">
        <v>613</v>
      </c>
    </row>
    <row r="47" spans="1:36" ht="20.100000000000001" customHeight="1">
      <c r="A47" s="472" t="s">
        <v>568</v>
      </c>
      <c r="B47" s="473"/>
      <c r="C47" s="473"/>
      <c r="D47" s="473"/>
      <c r="E47" s="473"/>
      <c r="F47" s="473"/>
      <c r="G47" s="473"/>
      <c r="H47" s="473"/>
      <c r="I47" s="469"/>
      <c r="J47" s="470"/>
      <c r="K47" s="470"/>
      <c r="L47" s="471"/>
      <c r="M47" s="494" t="s">
        <v>570</v>
      </c>
      <c r="N47" s="473"/>
      <c r="O47" s="473"/>
      <c r="P47" s="473"/>
      <c r="Q47" s="473"/>
      <c r="R47" s="473"/>
      <c r="S47" s="473"/>
      <c r="T47" s="473"/>
      <c r="U47" s="473"/>
      <c r="V47" s="495"/>
      <c r="W47" s="470"/>
      <c r="X47" s="470"/>
      <c r="Y47" s="470"/>
      <c r="Z47" s="498"/>
      <c r="AB47" s="161" t="str">
        <f>IF(I47="該当あり","yes","no")</f>
        <v>no</v>
      </c>
      <c r="AE47" s="2" t="s">
        <v>566</v>
      </c>
    </row>
    <row r="48" spans="1:36" ht="20.100000000000001" customHeight="1">
      <c r="A48" s="472" t="s">
        <v>569</v>
      </c>
      <c r="B48" s="473"/>
      <c r="C48" s="473"/>
      <c r="D48" s="473"/>
      <c r="E48" s="473"/>
      <c r="F48" s="473"/>
      <c r="G48" s="473"/>
      <c r="H48" s="473"/>
      <c r="I48" s="469"/>
      <c r="J48" s="470"/>
      <c r="K48" s="470"/>
      <c r="L48" s="471"/>
      <c r="M48" s="494" t="s">
        <v>33</v>
      </c>
      <c r="N48" s="473"/>
      <c r="O48" s="473"/>
      <c r="P48" s="473"/>
      <c r="Q48" s="473"/>
      <c r="R48" s="473"/>
      <c r="S48" s="473"/>
      <c r="T48" s="473"/>
      <c r="U48" s="473"/>
      <c r="V48" s="495"/>
      <c r="W48" s="470"/>
      <c r="X48" s="470"/>
      <c r="Y48" s="470"/>
      <c r="Z48" s="498"/>
      <c r="AB48" s="161" t="str">
        <f>IF(I48="該当あり","yes","no")</f>
        <v>no</v>
      </c>
      <c r="AE48" s="2" t="s">
        <v>567</v>
      </c>
    </row>
    <row r="49" spans="1:28" ht="6.75" customHeight="1">
      <c r="A49" s="99"/>
      <c r="B49" s="100"/>
      <c r="C49" s="101"/>
      <c r="D49" s="100"/>
      <c r="E49" s="100"/>
      <c r="F49" s="100"/>
      <c r="G49" s="100"/>
      <c r="H49" s="100"/>
      <c r="I49" s="100"/>
      <c r="J49" s="100"/>
      <c r="K49" s="100"/>
      <c r="L49" s="100"/>
      <c r="M49" s="111"/>
      <c r="N49" s="111"/>
      <c r="O49" s="111"/>
      <c r="P49" s="111"/>
      <c r="Q49" s="111"/>
      <c r="R49" s="111"/>
      <c r="S49" s="111"/>
      <c r="T49" s="111"/>
      <c r="U49" s="111"/>
      <c r="V49" s="111"/>
      <c r="W49" s="111"/>
      <c r="X49" s="111"/>
      <c r="Y49" s="111"/>
      <c r="Z49" s="112"/>
      <c r="AB49" s="161" t="str">
        <f>IF(W47="該当あり","yes","no")</f>
        <v>no</v>
      </c>
    </row>
    <row r="50" spans="1:28" s="43" customFormat="1" ht="18" customHeight="1">
      <c r="A50" s="103"/>
      <c r="B50" s="306" t="s">
        <v>781</v>
      </c>
      <c r="C50" s="307"/>
      <c r="D50" s="111"/>
      <c r="E50" s="111"/>
      <c r="F50" s="111"/>
      <c r="G50" s="111"/>
      <c r="H50" s="111"/>
      <c r="I50" s="111"/>
      <c r="J50" s="111"/>
      <c r="K50" s="111"/>
      <c r="L50" s="111"/>
      <c r="M50" s="111"/>
      <c r="N50" s="111"/>
      <c r="O50" s="111"/>
      <c r="P50" s="111"/>
      <c r="Q50" s="111"/>
      <c r="R50" s="111"/>
      <c r="S50" s="111"/>
      <c r="T50" s="111"/>
      <c r="U50" s="111"/>
      <c r="V50" s="111"/>
      <c r="W50" s="111"/>
      <c r="X50" s="111"/>
      <c r="Y50" s="111"/>
      <c r="Z50" s="105"/>
      <c r="AA50" s="7"/>
      <c r="AB50" s="161" t="str">
        <f>IF(W48="該当あり","yes","no")</f>
        <v>no</v>
      </c>
    </row>
    <row r="51" spans="1:28" s="43" customFormat="1" ht="14.1" customHeight="1">
      <c r="A51" s="103"/>
      <c r="B51" s="306" t="s">
        <v>782</v>
      </c>
      <c r="C51" s="308"/>
      <c r="D51" s="113"/>
      <c r="E51" s="113"/>
      <c r="F51" s="113"/>
      <c r="G51" s="113"/>
      <c r="H51" s="113"/>
      <c r="I51" s="113"/>
      <c r="J51" s="113"/>
      <c r="K51" s="113"/>
      <c r="L51" s="113"/>
      <c r="M51" s="113"/>
      <c r="N51" s="113"/>
      <c r="O51" s="113"/>
      <c r="P51" s="113"/>
      <c r="Q51" s="113"/>
      <c r="R51" s="113"/>
      <c r="S51" s="113"/>
      <c r="T51" s="113"/>
      <c r="U51" s="113"/>
      <c r="V51" s="113"/>
      <c r="W51" s="113"/>
      <c r="X51" s="113"/>
      <c r="Y51" s="113"/>
      <c r="Z51" s="105"/>
      <c r="AA51" s="7"/>
      <c r="AB51" s="162"/>
    </row>
    <row r="52" spans="1:28" s="43" customFormat="1" ht="17.100000000000001" customHeight="1">
      <c r="A52" s="103"/>
      <c r="B52" s="306" t="s">
        <v>783</v>
      </c>
      <c r="C52" s="308"/>
      <c r="D52" s="113"/>
      <c r="E52" s="113"/>
      <c r="F52" s="113"/>
      <c r="G52" s="113"/>
      <c r="H52" s="113"/>
      <c r="I52" s="113"/>
      <c r="J52" s="113"/>
      <c r="K52" s="113"/>
      <c r="L52" s="113"/>
      <c r="M52" s="113"/>
      <c r="N52" s="113"/>
      <c r="O52" s="113"/>
      <c r="P52" s="113"/>
      <c r="Q52" s="113"/>
      <c r="R52" s="113"/>
      <c r="S52" s="113"/>
      <c r="T52" s="113"/>
      <c r="U52" s="113"/>
      <c r="V52" s="113"/>
      <c r="W52" s="113"/>
      <c r="X52" s="113"/>
      <c r="Y52" s="113"/>
      <c r="Z52" s="105"/>
      <c r="AA52" s="7"/>
      <c r="AB52" s="162"/>
    </row>
    <row r="53" spans="1:28" ht="6" customHeight="1" thickBot="1">
      <c r="A53" s="107"/>
      <c r="B53" s="108"/>
      <c r="C53" s="109"/>
      <c r="D53" s="108"/>
      <c r="E53" s="108"/>
      <c r="F53" s="108"/>
      <c r="G53" s="108"/>
      <c r="H53" s="108"/>
      <c r="I53" s="108"/>
      <c r="J53" s="108"/>
      <c r="K53" s="108"/>
      <c r="L53" s="108"/>
      <c r="M53" s="108"/>
      <c r="N53" s="108"/>
      <c r="O53" s="108"/>
      <c r="P53" s="108"/>
      <c r="Q53" s="108"/>
      <c r="R53" s="108"/>
      <c r="S53" s="108"/>
      <c r="T53" s="108"/>
      <c r="U53" s="108"/>
      <c r="V53" s="108"/>
      <c r="W53" s="108"/>
      <c r="X53" s="108"/>
      <c r="Y53" s="108"/>
      <c r="Z53" s="110"/>
    </row>
  </sheetData>
  <sheetProtection selectLockedCells="1"/>
  <mergeCells count="64">
    <mergeCell ref="M5:W5"/>
    <mergeCell ref="A6:Z7"/>
    <mergeCell ref="M3:Z3"/>
    <mergeCell ref="M4:W4"/>
    <mergeCell ref="I16:J16"/>
    <mergeCell ref="B9:D10"/>
    <mergeCell ref="Q16:Z17"/>
    <mergeCell ref="L9:M10"/>
    <mergeCell ref="F9:G10"/>
    <mergeCell ref="H9:H10"/>
    <mergeCell ref="I9:J10"/>
    <mergeCell ref="K9:K10"/>
    <mergeCell ref="N9:N10"/>
    <mergeCell ref="M48:V48"/>
    <mergeCell ref="W45:Z46"/>
    <mergeCell ref="M45:V46"/>
    <mergeCell ref="W47:Z47"/>
    <mergeCell ref="M47:V47"/>
    <mergeCell ref="W48:Z48"/>
    <mergeCell ref="A43:Z44"/>
    <mergeCell ref="A45:H46"/>
    <mergeCell ref="A47:H47"/>
    <mergeCell ref="I45:L46"/>
    <mergeCell ref="I47:L47"/>
    <mergeCell ref="Q24:Z25"/>
    <mergeCell ref="A22:H23"/>
    <mergeCell ref="A24:H25"/>
    <mergeCell ref="A26:H27"/>
    <mergeCell ref="Q22:Z23"/>
    <mergeCell ref="Q26:Z27"/>
    <mergeCell ref="I23:J23"/>
    <mergeCell ref="I24:J24"/>
    <mergeCell ref="I25:J25"/>
    <mergeCell ref="I26:J26"/>
    <mergeCell ref="I27:J27"/>
    <mergeCell ref="I22:J22"/>
    <mergeCell ref="I48:L48"/>
    <mergeCell ref="A48:H48"/>
    <mergeCell ref="A16:H17"/>
    <mergeCell ref="A18:H19"/>
    <mergeCell ref="A20:H21"/>
    <mergeCell ref="J38:V38"/>
    <mergeCell ref="A37:I37"/>
    <mergeCell ref="A29:B29"/>
    <mergeCell ref="J37:V37"/>
    <mergeCell ref="A38:I38"/>
    <mergeCell ref="A36:I36"/>
    <mergeCell ref="A34:Z35"/>
    <mergeCell ref="S36:U36"/>
    <mergeCell ref="Y37:Z37"/>
    <mergeCell ref="Y38:Z38"/>
    <mergeCell ref="J36:L36"/>
    <mergeCell ref="Q18:Z19"/>
    <mergeCell ref="Q20:Z21"/>
    <mergeCell ref="A12:Z13"/>
    <mergeCell ref="A14:H15"/>
    <mergeCell ref="I14:P14"/>
    <mergeCell ref="I15:P15"/>
    <mergeCell ref="Q14:Z15"/>
    <mergeCell ref="I17:J17"/>
    <mergeCell ref="I18:J18"/>
    <mergeCell ref="I19:J19"/>
    <mergeCell ref="I20:J20"/>
    <mergeCell ref="I21:J21"/>
  </mergeCells>
  <phoneticPr fontId="2"/>
  <conditionalFormatting sqref="A4">
    <cfRule type="cellIs" dxfId="212" priority="1" stopIfTrue="1" operator="notEqual">
      <formula>""</formula>
    </cfRule>
  </conditionalFormatting>
  <conditionalFormatting sqref="A43">
    <cfRule type="expression" dxfId="211" priority="75" stopIfTrue="1">
      <formula>#REF!=1</formula>
    </cfRule>
    <cfRule type="expression" dxfId="210" priority="76" stopIfTrue="1">
      <formula>#REF!=2</formula>
    </cfRule>
  </conditionalFormatting>
  <conditionalFormatting sqref="A45 M45">
    <cfRule type="expression" dxfId="209" priority="133" stopIfTrue="1">
      <formula>#REF!=1</formula>
    </cfRule>
    <cfRule type="expression" dxfId="208" priority="134" stopIfTrue="1">
      <formula>#REF!=2</formula>
    </cfRule>
  </conditionalFormatting>
  <conditionalFormatting sqref="A47">
    <cfRule type="expression" dxfId="207" priority="107" stopIfTrue="1">
      <formula>G50=1</formula>
    </cfRule>
    <cfRule type="expression" dxfId="206" priority="108" stopIfTrue="1">
      <formula>G50=2</formula>
    </cfRule>
  </conditionalFormatting>
  <conditionalFormatting sqref="A48">
    <cfRule type="expression" dxfId="205" priority="63" stopIfTrue="1">
      <formula>G50=1</formula>
    </cfRule>
    <cfRule type="expression" dxfId="204" priority="64" stopIfTrue="1">
      <formula>G50=2</formula>
    </cfRule>
  </conditionalFormatting>
  <conditionalFormatting sqref="A16:I27">
    <cfRule type="cellIs" dxfId="203" priority="3" operator="notEqual">
      <formula>""</formula>
    </cfRule>
  </conditionalFormatting>
  <conditionalFormatting sqref="B9">
    <cfRule type="expression" dxfId="202" priority="14">
      <formula>B9&lt;&gt;""</formula>
    </cfRule>
  </conditionalFormatting>
  <conditionalFormatting sqref="F9 I9 L9">
    <cfRule type="cellIs" dxfId="201" priority="16" stopIfTrue="1" operator="notEqual">
      <formula>""</formula>
    </cfRule>
  </conditionalFormatting>
  <conditionalFormatting sqref="H9 U9:Y10">
    <cfRule type="cellIs" dxfId="200" priority="17" stopIfTrue="1" operator="equal">
      <formula>"年月日に誤りがあるか、計算範囲外にあります。"</formula>
    </cfRule>
  </conditionalFormatting>
  <conditionalFormatting sqref="I47:L48 W47:Z48">
    <cfRule type="cellIs" dxfId="199" priority="22" operator="notEqual">
      <formula>""</formula>
    </cfRule>
  </conditionalFormatting>
  <conditionalFormatting sqref="I48:L48">
    <cfRule type="expression" dxfId="198" priority="39">
      <formula>I48&lt;&gt;""</formula>
    </cfRule>
  </conditionalFormatting>
  <conditionalFormatting sqref="K16:K27 M16:M27 O16:O27">
    <cfRule type="cellIs" dxfId="197" priority="7" operator="notEqual">
      <formula>""</formula>
    </cfRule>
  </conditionalFormatting>
  <conditionalFormatting sqref="M36 O36 Q36">
    <cfRule type="expression" dxfId="196" priority="73" stopIfTrue="1">
      <formula>#REF!="TRUE"</formula>
    </cfRule>
  </conditionalFormatting>
  <conditionalFormatting sqref="M47:M48">
    <cfRule type="expression" dxfId="195" priority="41" stopIfTrue="1">
      <formula>S51=1</formula>
    </cfRule>
    <cfRule type="expression" dxfId="194" priority="42" stopIfTrue="1">
      <formula>S51=2</formula>
    </cfRule>
  </conditionalFormatting>
  <conditionalFormatting sqref="M3:Z3 M4:W5">
    <cfRule type="cellIs" dxfId="193" priority="2" operator="notEqual">
      <formula>""</formula>
    </cfRule>
  </conditionalFormatting>
  <conditionalFormatting sqref="N36 P36 S36 W36 Y36 J36:J38">
    <cfRule type="cellIs" dxfId="192" priority="23" operator="notEqual">
      <formula>""</formula>
    </cfRule>
  </conditionalFormatting>
  <conditionalFormatting sqref="Q16:Z27">
    <cfRule type="cellIs" dxfId="191" priority="25" operator="notEqual">
      <formula>""</formula>
    </cfRule>
  </conditionalFormatting>
  <conditionalFormatting sqref="W48">
    <cfRule type="cellIs" dxfId="190" priority="38" stopIfTrue="1" operator="notEqual">
      <formula>""</formula>
    </cfRule>
  </conditionalFormatting>
  <conditionalFormatting sqref="W47:Z48">
    <cfRule type="expression" dxfId="189" priority="37">
      <formula>W47&lt;&gt;""</formula>
    </cfRule>
  </conditionalFormatting>
  <conditionalFormatting sqref="X36 Z36">
    <cfRule type="expression" dxfId="188" priority="71" stopIfTrue="1">
      <formula>#REF!="TRUE"</formula>
    </cfRule>
  </conditionalFormatting>
  <dataValidations xWindow="47" yWindow="226" count="6">
    <dataValidation imeMode="disabled" allowBlank="1" showInputMessage="1" showErrorMessage="1" sqref="F9:G10 I9:J10 L9:M10 M16:M27 O16:O27 J37:V38 N36 P36 W36 Y36 K16:K27 M4:W5" xr:uid="{00000000-0002-0000-0200-000000000000}"/>
    <dataValidation imeMode="on" allowBlank="1" showInputMessage="1" showErrorMessage="1" sqref="A16:H27 L16:L27 N16:N27 P16:Z27" xr:uid="{00000000-0002-0000-0200-000001000000}"/>
    <dataValidation type="list" allowBlank="1" showInputMessage="1" showErrorMessage="1" sqref="I47:L48 W47:Z48" xr:uid="{00000000-0002-0000-0200-000002000000}">
      <formula1>$AE$47:$AE$48</formula1>
    </dataValidation>
    <dataValidation type="list" allowBlank="1" showInputMessage="1" showErrorMessage="1" sqref="B9" xr:uid="{00000000-0002-0000-0200-000003000000}">
      <formula1>$AE$9:$AE$13</formula1>
    </dataValidation>
    <dataValidation type="list" imeMode="on" allowBlank="1" showInputMessage="1" showErrorMessage="1" sqref="I16:J27" xr:uid="{00000000-0002-0000-0200-000004000000}">
      <formula1>$AE$9:$AE$13</formula1>
    </dataValidation>
    <dataValidation type="list" allowBlank="1" showInputMessage="1" showErrorMessage="1" sqref="M3:Z3" xr:uid="{11FEADD3-B539-4DB0-AC5B-594860A10120}">
      <formula1>$AD$15:$AD$21</formula1>
    </dataValidation>
  </dataValidations>
  <pageMargins left="0.78740157480314965" right="0.39370078740157483" top="0.78740157480314965" bottom="0.78740157480314965" header="0.51181102362204722" footer="0.51181102362204722"/>
  <pageSetup paperSize="9" scale="99" fitToWidth="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40"/>
  <sheetViews>
    <sheetView showGridLines="0" showZeros="0" view="pageBreakPreview" topLeftCell="A16" zoomScaleNormal="100" zoomScaleSheetLayoutView="100" workbookViewId="0">
      <selection activeCell="K35" sqref="K35:AE35"/>
    </sheetView>
  </sheetViews>
  <sheetFormatPr defaultColWidth="2.75" defaultRowHeight="13.5"/>
  <cols>
    <col min="1" max="32" width="2.75" style="2" customWidth="1"/>
    <col min="33" max="33" width="8" style="162" customWidth="1"/>
    <col min="34" max="34" width="13.375" style="2" hidden="1" customWidth="1"/>
    <col min="35" max="36" width="4.375" style="2" customWidth="1"/>
    <col min="37" max="37" width="11.75" style="2" customWidth="1"/>
    <col min="38" max="38" width="12.875" style="2" hidden="1" customWidth="1"/>
    <col min="39" max="40" width="4.375" style="2" hidden="1" customWidth="1"/>
    <col min="41" max="46" width="4.375" style="2" customWidth="1"/>
    <col min="47" max="47" width="2.75" style="2" customWidth="1"/>
    <col min="48" max="16384" width="2.75" style="2"/>
  </cols>
  <sheetData>
    <row r="1" spans="1:39" ht="21.75" customHeight="1" thickBot="1">
      <c r="A1" s="1" t="s">
        <v>38</v>
      </c>
      <c r="B1" s="4"/>
      <c r="C1" s="4"/>
      <c r="D1" s="4"/>
      <c r="E1" s="4"/>
      <c r="F1" s="4"/>
      <c r="G1" s="4"/>
      <c r="H1" s="4"/>
      <c r="I1" s="4"/>
      <c r="J1" s="4"/>
      <c r="K1" s="4"/>
      <c r="L1" s="4"/>
      <c r="M1" s="4"/>
      <c r="N1" s="4"/>
      <c r="O1" s="4"/>
      <c r="P1" s="4"/>
      <c r="Q1" s="4"/>
      <c r="R1" s="43" t="str">
        <f>IF(第１号様式!$H$21="","",第１号様式!$H$21)</f>
        <v/>
      </c>
      <c r="T1" s="4"/>
      <c r="U1" s="4"/>
      <c r="V1" s="4"/>
      <c r="W1" s="4"/>
      <c r="X1" s="4"/>
      <c r="Y1" s="4"/>
      <c r="Z1" s="4"/>
      <c r="AA1" s="4"/>
      <c r="AB1" s="4"/>
      <c r="AC1" s="4"/>
      <c r="AD1" s="4"/>
      <c r="AE1" s="4"/>
    </row>
    <row r="2" spans="1:39">
      <c r="A2" s="447" t="s">
        <v>790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9"/>
    </row>
    <row r="3" spans="1:39">
      <c r="A3" s="515"/>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7"/>
      <c r="AG3" s="162" t="s">
        <v>613</v>
      </c>
      <c r="AH3" s="2" t="s">
        <v>576</v>
      </c>
      <c r="AL3" s="2" t="s">
        <v>576</v>
      </c>
      <c r="AM3" s="2" t="s">
        <v>577</v>
      </c>
    </row>
    <row r="4" spans="1:39" ht="28.5" customHeight="1">
      <c r="A4" s="518" t="s">
        <v>9</v>
      </c>
      <c r="B4" s="519"/>
      <c r="C4" s="371" t="s">
        <v>12</v>
      </c>
      <c r="D4" s="369"/>
      <c r="E4" s="369"/>
      <c r="F4" s="369"/>
      <c r="G4" s="369"/>
      <c r="H4" s="369"/>
      <c r="I4" s="522"/>
      <c r="J4" s="401"/>
      <c r="K4" s="402"/>
      <c r="L4" s="402"/>
      <c r="M4" s="402"/>
      <c r="N4" s="402"/>
      <c r="O4" s="402"/>
      <c r="P4" s="402"/>
      <c r="Q4" s="402"/>
      <c r="R4" s="402"/>
      <c r="S4" s="402"/>
      <c r="T4" s="402"/>
      <c r="U4" s="402"/>
      <c r="V4" s="402"/>
      <c r="W4" s="402"/>
      <c r="X4" s="402"/>
      <c r="Y4" s="402"/>
      <c r="Z4" s="402"/>
      <c r="AA4" s="402"/>
      <c r="AB4" s="402"/>
      <c r="AC4" s="402"/>
      <c r="AD4" s="402"/>
      <c r="AE4" s="407"/>
      <c r="AG4" s="161" t="str">
        <f>IF(J4="","",IF(J4="代理人を置く","yes","no"))</f>
        <v/>
      </c>
      <c r="AH4" s="2" t="s">
        <v>577</v>
      </c>
      <c r="AL4" s="2" t="s">
        <v>575</v>
      </c>
      <c r="AM4" s="2" t="s">
        <v>574</v>
      </c>
    </row>
    <row r="5" spans="1:39" ht="18.75" customHeight="1">
      <c r="A5" s="520"/>
      <c r="B5" s="521"/>
      <c r="C5" s="371" t="s">
        <v>13</v>
      </c>
      <c r="D5" s="369"/>
      <c r="E5" s="369"/>
      <c r="F5" s="370"/>
      <c r="G5" s="352" t="s">
        <v>174</v>
      </c>
      <c r="H5" s="353"/>
      <c r="I5" s="354"/>
      <c r="J5" s="523"/>
      <c r="K5" s="524"/>
      <c r="L5" s="524"/>
      <c r="M5" s="524"/>
      <c r="N5" s="524"/>
      <c r="O5" s="524"/>
      <c r="P5" s="524"/>
      <c r="Q5" s="524"/>
      <c r="R5" s="524"/>
      <c r="S5" s="524"/>
      <c r="T5" s="524"/>
      <c r="U5" s="524"/>
      <c r="V5" s="524"/>
      <c r="W5" s="524"/>
      <c r="X5" s="524"/>
      <c r="Y5" s="524"/>
      <c r="Z5" s="524"/>
      <c r="AA5" s="524"/>
      <c r="AB5" s="524"/>
      <c r="AC5" s="524"/>
      <c r="AD5" s="524"/>
      <c r="AE5" s="525"/>
      <c r="AM5" s="2" t="s">
        <v>575</v>
      </c>
    </row>
    <row r="6" spans="1:39" ht="13.5" customHeight="1">
      <c r="A6" s="520"/>
      <c r="B6" s="521"/>
      <c r="C6" s="371"/>
      <c r="D6" s="369"/>
      <c r="E6" s="369"/>
      <c r="F6" s="370"/>
      <c r="G6" s="352" t="s">
        <v>572</v>
      </c>
      <c r="H6" s="353"/>
      <c r="I6" s="353"/>
      <c r="J6" s="354"/>
      <c r="K6" s="526" t="s">
        <v>573</v>
      </c>
      <c r="L6" s="526"/>
      <c r="M6" s="526"/>
      <c r="N6" s="526"/>
      <c r="O6" s="526"/>
      <c r="P6" s="526"/>
      <c r="Q6" s="526"/>
      <c r="R6" s="526"/>
      <c r="S6" s="526"/>
      <c r="T6" s="526"/>
      <c r="U6" s="526"/>
      <c r="V6" s="526"/>
      <c r="W6" s="526"/>
      <c r="X6" s="526"/>
      <c r="Y6" s="526"/>
      <c r="Z6" s="526"/>
      <c r="AA6" s="526"/>
      <c r="AB6" s="526"/>
      <c r="AC6" s="526"/>
      <c r="AD6" s="526"/>
      <c r="AE6" s="527"/>
    </row>
    <row r="7" spans="1:39" ht="30" customHeight="1">
      <c r="A7" s="520"/>
      <c r="B7" s="521"/>
      <c r="C7" s="371"/>
      <c r="D7" s="369"/>
      <c r="E7" s="369"/>
      <c r="F7" s="370"/>
      <c r="G7" s="357"/>
      <c r="H7" s="358"/>
      <c r="I7" s="358"/>
      <c r="J7" s="359"/>
      <c r="K7" s="512"/>
      <c r="L7" s="512"/>
      <c r="M7" s="512"/>
      <c r="N7" s="512"/>
      <c r="O7" s="512"/>
      <c r="P7" s="512"/>
      <c r="Q7" s="512"/>
      <c r="R7" s="512"/>
      <c r="S7" s="512"/>
      <c r="T7" s="512"/>
      <c r="U7" s="512"/>
      <c r="V7" s="512"/>
      <c r="W7" s="512"/>
      <c r="X7" s="512"/>
      <c r="Y7" s="512"/>
      <c r="Z7" s="512"/>
      <c r="AA7" s="512"/>
      <c r="AB7" s="512"/>
      <c r="AC7" s="512"/>
      <c r="AD7" s="512"/>
      <c r="AE7" s="513"/>
    </row>
    <row r="8" spans="1:39" ht="28.5" customHeight="1">
      <c r="A8" s="520"/>
      <c r="B8" s="521"/>
      <c r="C8" s="371" t="s">
        <v>473</v>
      </c>
      <c r="D8" s="369"/>
      <c r="E8" s="369"/>
      <c r="F8" s="370"/>
      <c r="G8" s="530"/>
      <c r="H8" s="528"/>
      <c r="I8" s="528"/>
      <c r="J8" s="528"/>
      <c r="K8" s="528"/>
      <c r="L8" s="528"/>
      <c r="M8" s="528"/>
      <c r="N8" s="528"/>
      <c r="O8" s="528"/>
      <c r="P8" s="531"/>
      <c r="Q8" s="404" t="s">
        <v>11</v>
      </c>
      <c r="R8" s="405"/>
      <c r="S8" s="405"/>
      <c r="T8" s="406"/>
      <c r="U8" s="528"/>
      <c r="V8" s="528"/>
      <c r="W8" s="528"/>
      <c r="X8" s="528"/>
      <c r="Y8" s="528"/>
      <c r="Z8" s="528"/>
      <c r="AA8" s="528"/>
      <c r="AB8" s="528"/>
      <c r="AC8" s="528"/>
      <c r="AD8" s="528"/>
      <c r="AE8" s="529"/>
    </row>
    <row r="9" spans="1:39" ht="29.1" customHeight="1">
      <c r="A9" s="520"/>
      <c r="B9" s="521"/>
      <c r="C9" s="379" t="s">
        <v>10</v>
      </c>
      <c r="D9" s="514"/>
      <c r="E9" s="514"/>
      <c r="F9" s="380"/>
      <c r="G9" s="365"/>
      <c r="H9" s="366"/>
      <c r="I9" s="366"/>
      <c r="J9" s="366"/>
      <c r="K9" s="366"/>
      <c r="L9" s="366"/>
      <c r="M9" s="366"/>
      <c r="N9" s="366"/>
      <c r="O9" s="366"/>
      <c r="P9" s="366"/>
      <c r="Q9" s="366"/>
      <c r="R9" s="366"/>
      <c r="S9" s="366"/>
      <c r="T9" s="366"/>
      <c r="U9" s="366"/>
      <c r="V9" s="366"/>
      <c r="W9" s="366"/>
      <c r="X9" s="366"/>
      <c r="Y9" s="366"/>
      <c r="Z9" s="366"/>
      <c r="AA9" s="366"/>
      <c r="AB9" s="366"/>
      <c r="AC9" s="366"/>
      <c r="AD9" s="366"/>
      <c r="AE9" s="367"/>
    </row>
    <row r="10" spans="1:39" ht="29.1" customHeight="1">
      <c r="A10" s="520"/>
      <c r="B10" s="521"/>
      <c r="C10" s="371" t="s">
        <v>571</v>
      </c>
      <c r="D10" s="370"/>
      <c r="E10" s="532"/>
      <c r="F10" s="533"/>
      <c r="G10" s="533"/>
      <c r="H10" s="533"/>
      <c r="I10" s="533"/>
      <c r="J10" s="533"/>
      <c r="K10" s="533"/>
      <c r="L10" s="533"/>
      <c r="M10" s="533"/>
      <c r="N10" s="533"/>
      <c r="O10" s="533"/>
      <c r="P10" s="534"/>
      <c r="Q10" s="404" t="s">
        <v>175</v>
      </c>
      <c r="R10" s="405"/>
      <c r="S10" s="405"/>
      <c r="T10" s="406"/>
      <c r="U10" s="401"/>
      <c r="V10" s="402"/>
      <c r="W10" s="402"/>
      <c r="X10" s="402"/>
      <c r="Y10" s="402"/>
      <c r="Z10" s="402"/>
      <c r="AA10" s="402"/>
      <c r="AB10" s="402"/>
      <c r="AC10" s="402"/>
      <c r="AD10" s="402"/>
      <c r="AE10" s="407"/>
    </row>
    <row r="11" spans="1:39">
      <c r="A11" s="66"/>
      <c r="B11" s="67"/>
      <c r="C11" s="44"/>
      <c r="D11" s="20"/>
      <c r="E11" s="20"/>
      <c r="F11" s="20"/>
      <c r="G11" s="20"/>
      <c r="H11" s="20"/>
      <c r="I11" s="20"/>
      <c r="J11" s="20"/>
      <c r="K11" s="20"/>
      <c r="L11" s="20"/>
      <c r="M11" s="20"/>
      <c r="N11" s="20"/>
      <c r="O11" s="20"/>
      <c r="P11" s="20"/>
      <c r="Q11" s="20"/>
      <c r="R11" s="20"/>
      <c r="S11" s="16"/>
      <c r="T11" s="16"/>
      <c r="U11" s="16"/>
      <c r="V11" s="16"/>
      <c r="W11" s="16"/>
      <c r="X11" s="16"/>
      <c r="Y11" s="16"/>
      <c r="Z11" s="16"/>
      <c r="AA11" s="16"/>
      <c r="AB11" s="16"/>
      <c r="AC11" s="16"/>
      <c r="AD11" s="16"/>
      <c r="AE11" s="45"/>
    </row>
    <row r="12" spans="1:39" ht="13.5" customHeight="1">
      <c r="A12" s="158"/>
      <c r="B12" s="97" t="s">
        <v>4</v>
      </c>
      <c r="C12" s="97"/>
      <c r="D12" s="509" t="s">
        <v>502</v>
      </c>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1"/>
    </row>
    <row r="13" spans="1:39" ht="13.5" customHeight="1">
      <c r="A13" s="158"/>
      <c r="B13" s="97"/>
      <c r="C13" s="97"/>
      <c r="D13" s="509" t="s">
        <v>501</v>
      </c>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1"/>
    </row>
    <row r="14" spans="1:39" ht="13.5" customHeight="1">
      <c r="A14" s="158"/>
      <c r="B14" s="97"/>
      <c r="C14" s="97"/>
      <c r="D14" s="97" t="s">
        <v>684</v>
      </c>
      <c r="E14" s="97"/>
      <c r="F14" s="97"/>
      <c r="G14" s="97"/>
      <c r="H14" s="97"/>
      <c r="I14" s="97"/>
      <c r="J14" s="97"/>
      <c r="K14" s="97"/>
      <c r="L14" s="97"/>
      <c r="M14" s="97"/>
      <c r="N14" s="97"/>
      <c r="O14" s="97"/>
      <c r="P14" s="97"/>
      <c r="Q14" s="97"/>
      <c r="R14" s="97"/>
      <c r="S14" s="97"/>
      <c r="T14" s="97"/>
      <c r="U14" s="97"/>
      <c r="V14" s="97"/>
      <c r="W14" s="97"/>
      <c r="X14" s="97"/>
      <c r="Y14" s="97"/>
      <c r="Z14" s="97"/>
      <c r="AA14" s="97"/>
      <c r="AB14" s="97"/>
      <c r="AC14" s="159"/>
      <c r="AD14" s="159"/>
      <c r="AE14" s="160"/>
    </row>
    <row r="15" spans="1:39">
      <c r="A15" s="158"/>
      <c r="B15" s="97"/>
      <c r="C15" s="97"/>
      <c r="D15" s="97" t="s">
        <v>503</v>
      </c>
      <c r="E15" s="97"/>
      <c r="F15" s="97"/>
      <c r="G15" s="97"/>
      <c r="H15" s="97"/>
      <c r="I15" s="97"/>
      <c r="J15" s="97"/>
      <c r="K15" s="97"/>
      <c r="L15" s="97"/>
      <c r="M15" s="97"/>
      <c r="N15" s="97"/>
      <c r="O15" s="97"/>
      <c r="P15" s="97"/>
      <c r="Q15" s="97"/>
      <c r="R15" s="97"/>
      <c r="S15" s="97"/>
      <c r="T15" s="97"/>
      <c r="U15" s="97"/>
      <c r="V15" s="97"/>
      <c r="W15" s="97"/>
      <c r="X15" s="97"/>
      <c r="Y15" s="97"/>
      <c r="Z15" s="97"/>
      <c r="AA15" s="97"/>
      <c r="AB15" s="97"/>
      <c r="AC15" s="159"/>
      <c r="AD15" s="159"/>
      <c r="AE15" s="160"/>
    </row>
    <row r="16" spans="1:39">
      <c r="A16" s="158"/>
      <c r="B16" s="97"/>
      <c r="C16" s="97"/>
      <c r="D16" s="97" t="s">
        <v>685</v>
      </c>
      <c r="E16" s="97"/>
      <c r="F16" s="97"/>
      <c r="G16" s="97"/>
      <c r="H16" s="97"/>
      <c r="I16" s="97"/>
      <c r="J16" s="97"/>
      <c r="K16" s="97"/>
      <c r="L16" s="97"/>
      <c r="M16" s="97"/>
      <c r="N16" s="97"/>
      <c r="O16" s="97"/>
      <c r="P16" s="97"/>
      <c r="Q16" s="97"/>
      <c r="R16" s="97"/>
      <c r="S16" s="97"/>
      <c r="T16" s="97"/>
      <c r="U16" s="97"/>
      <c r="V16" s="97"/>
      <c r="W16" s="97"/>
      <c r="X16" s="97"/>
      <c r="Y16" s="97"/>
      <c r="Z16" s="97"/>
      <c r="AA16" s="97"/>
      <c r="AB16" s="97"/>
      <c r="AC16" s="159"/>
      <c r="AD16" s="159"/>
      <c r="AE16" s="160"/>
    </row>
    <row r="17" spans="1:34" ht="14.25" thickBot="1">
      <c r="A17" s="158"/>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159"/>
      <c r="AD17" s="159"/>
      <c r="AE17" s="160"/>
    </row>
    <row r="18" spans="1:34" ht="13.5" customHeight="1">
      <c r="A18" s="535" t="s">
        <v>791</v>
      </c>
      <c r="B18" s="536"/>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7"/>
    </row>
    <row r="19" spans="1:34">
      <c r="A19" s="538"/>
      <c r="B19" s="539"/>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40"/>
    </row>
    <row r="20" spans="1:34" ht="17.100000000000001" customHeight="1">
      <c r="A20" s="541" t="s">
        <v>793</v>
      </c>
      <c r="B20" s="542"/>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542"/>
      <c r="AD20" s="542"/>
      <c r="AE20" s="543"/>
      <c r="AH20" s="2" t="s">
        <v>832</v>
      </c>
    </row>
    <row r="21" spans="1:34" ht="17.100000000000001" customHeigh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6"/>
      <c r="AG21" s="162" t="s">
        <v>613</v>
      </c>
      <c r="AH21" s="2" t="s">
        <v>833</v>
      </c>
    </row>
    <row r="22" spans="1:34" ht="29.25" customHeight="1">
      <c r="A22" s="551" t="s">
        <v>595</v>
      </c>
      <c r="B22" s="552"/>
      <c r="C22" s="552"/>
      <c r="D22" s="552"/>
      <c r="E22" s="552"/>
      <c r="F22" s="552"/>
      <c r="G22" s="552"/>
      <c r="H22" s="552"/>
      <c r="I22" s="553"/>
      <c r="J22" s="554"/>
      <c r="K22" s="555"/>
      <c r="L22" s="555"/>
      <c r="M22" s="555"/>
      <c r="N22" s="555"/>
      <c r="O22" s="555"/>
      <c r="P22" s="555"/>
      <c r="Q22" s="555"/>
      <c r="R22" s="555"/>
      <c r="S22" s="555"/>
      <c r="T22" s="555"/>
      <c r="U22" s="555"/>
      <c r="V22" s="555"/>
      <c r="W22" s="555"/>
      <c r="X22" s="555"/>
      <c r="Y22" s="555"/>
      <c r="Z22" s="555"/>
      <c r="AA22" s="555"/>
      <c r="AB22" s="555"/>
      <c r="AC22" s="555"/>
      <c r="AD22" s="555"/>
      <c r="AE22" s="556"/>
      <c r="AG22" s="161" t="str">
        <f>IF(J22="","",IF(J22="登録する","yes","no"))</f>
        <v/>
      </c>
    </row>
    <row r="23" spans="1:34" ht="11.25" customHeight="1">
      <c r="A23" s="48"/>
      <c r="B23" s="16"/>
      <c r="C23" s="16"/>
      <c r="D23" s="23"/>
      <c r="E23" s="20"/>
      <c r="F23" s="20"/>
      <c r="G23" s="20"/>
      <c r="H23" s="20"/>
      <c r="I23" s="20"/>
      <c r="J23" s="20"/>
      <c r="K23" s="20"/>
      <c r="L23" s="20"/>
      <c r="M23" s="16"/>
      <c r="N23" s="16"/>
      <c r="O23" s="16"/>
      <c r="P23" s="16"/>
      <c r="Q23" s="16"/>
      <c r="R23" s="16"/>
      <c r="S23" s="20"/>
      <c r="T23" s="20"/>
      <c r="U23" s="20"/>
      <c r="V23" s="20"/>
      <c r="W23" s="20"/>
      <c r="X23" s="20"/>
      <c r="Y23" s="20"/>
      <c r="Z23" s="20"/>
      <c r="AA23" s="16"/>
      <c r="AB23" s="16"/>
      <c r="AC23" s="16"/>
      <c r="AD23" s="16"/>
      <c r="AE23" s="45"/>
    </row>
    <row r="24" spans="1:34" s="43" customFormat="1" ht="13.5" customHeight="1">
      <c r="A24" s="48"/>
      <c r="B24" s="97" t="s">
        <v>4</v>
      </c>
      <c r="C24" s="97"/>
      <c r="D24" s="24" t="s">
        <v>686</v>
      </c>
      <c r="E24" s="97"/>
      <c r="F24" s="97"/>
      <c r="G24" s="16"/>
      <c r="H24" s="16"/>
      <c r="I24" s="16"/>
      <c r="J24" s="16"/>
      <c r="K24" s="16"/>
      <c r="L24" s="16"/>
      <c r="M24" s="16"/>
      <c r="N24" s="16"/>
      <c r="O24" s="16"/>
      <c r="P24" s="16"/>
      <c r="Q24" s="16"/>
      <c r="R24" s="16"/>
      <c r="S24" s="16"/>
      <c r="T24" s="16"/>
      <c r="U24" s="16"/>
      <c r="V24" s="16"/>
      <c r="W24" s="16"/>
      <c r="X24" s="16"/>
      <c r="Y24" s="16"/>
      <c r="Z24" s="16"/>
      <c r="AA24" s="16"/>
      <c r="AB24" s="16"/>
      <c r="AC24" s="16"/>
      <c r="AD24" s="16"/>
      <c r="AE24" s="45"/>
      <c r="AG24" s="162"/>
    </row>
    <row r="25" spans="1:34" s="43" customFormat="1" ht="7.5" customHeight="1">
      <c r="A25" s="48"/>
      <c r="B25" s="97"/>
      <c r="C25" s="157"/>
      <c r="E25" s="97"/>
      <c r="F25" s="97"/>
      <c r="G25" s="16"/>
      <c r="H25" s="16"/>
      <c r="I25" s="16"/>
      <c r="J25" s="16"/>
      <c r="K25" s="16"/>
      <c r="L25" s="16"/>
      <c r="M25" s="16"/>
      <c r="N25" s="16"/>
      <c r="O25" s="16"/>
      <c r="P25" s="16"/>
      <c r="Q25" s="16"/>
      <c r="R25" s="16"/>
      <c r="S25" s="16"/>
      <c r="T25" s="16"/>
      <c r="U25" s="16"/>
      <c r="V25" s="16"/>
      <c r="W25" s="16"/>
      <c r="X25" s="16"/>
      <c r="Y25" s="16"/>
      <c r="Z25" s="16"/>
      <c r="AA25" s="16"/>
      <c r="AB25" s="16"/>
      <c r="AC25" s="16"/>
      <c r="AD25" s="16"/>
      <c r="AE25" s="45"/>
      <c r="AG25" s="162"/>
    </row>
    <row r="26" spans="1:34" s="43" customFormat="1" ht="13.5" customHeight="1">
      <c r="A26" s="48"/>
      <c r="B26" s="97"/>
      <c r="D26" s="97" t="s">
        <v>687</v>
      </c>
      <c r="E26" s="97"/>
      <c r="F26" s="97"/>
      <c r="G26" s="16"/>
      <c r="H26" s="16"/>
      <c r="I26" s="16"/>
      <c r="J26" s="16"/>
      <c r="K26" s="16"/>
      <c r="L26" s="16"/>
      <c r="M26" s="16"/>
      <c r="N26" s="16"/>
      <c r="O26" s="16"/>
      <c r="P26" s="16"/>
      <c r="Q26" s="16"/>
      <c r="R26" s="16"/>
      <c r="S26" s="16"/>
      <c r="T26" s="16"/>
      <c r="U26" s="16"/>
      <c r="V26" s="16"/>
      <c r="W26" s="16"/>
      <c r="X26" s="16"/>
      <c r="Y26" s="16"/>
      <c r="Z26" s="16"/>
      <c r="AA26" s="16"/>
      <c r="AB26" s="16"/>
      <c r="AC26" s="16"/>
      <c r="AD26" s="16"/>
      <c r="AE26" s="45"/>
      <c r="AG26" s="162"/>
    </row>
    <row r="27" spans="1:34" ht="13.5" customHeight="1">
      <c r="A27" s="48"/>
      <c r="B27" s="97"/>
      <c r="C27" s="97" t="s">
        <v>688</v>
      </c>
      <c r="D27" s="24"/>
      <c r="E27" s="97"/>
      <c r="F27" s="97"/>
      <c r="G27" s="16"/>
      <c r="H27" s="16"/>
      <c r="I27" s="16"/>
      <c r="J27" s="16"/>
      <c r="K27" s="16"/>
      <c r="L27" s="16"/>
      <c r="M27" s="16"/>
      <c r="N27" s="16"/>
      <c r="O27" s="16"/>
      <c r="P27" s="16"/>
      <c r="Q27" s="16"/>
      <c r="R27" s="16"/>
      <c r="S27" s="16"/>
      <c r="T27" s="16"/>
      <c r="U27" s="16"/>
      <c r="V27" s="16"/>
      <c r="W27" s="16"/>
      <c r="X27" s="16"/>
      <c r="Y27" s="16"/>
      <c r="Z27" s="16"/>
      <c r="AA27" s="16"/>
      <c r="AB27" s="16"/>
      <c r="AC27" s="16"/>
      <c r="AD27" s="16"/>
      <c r="AE27" s="45"/>
    </row>
    <row r="28" spans="1:34" ht="14.25" thickBot="1">
      <c r="A28" s="48"/>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45"/>
    </row>
    <row r="29" spans="1:34">
      <c r="A29" s="557" t="s">
        <v>792</v>
      </c>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8"/>
      <c r="AE29" s="559"/>
    </row>
    <row r="30" spans="1:34">
      <c r="A30" s="560"/>
      <c r="B30" s="561"/>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2"/>
    </row>
    <row r="31" spans="1:34" ht="28.5" customHeight="1">
      <c r="A31" s="518" t="s">
        <v>476</v>
      </c>
      <c r="B31" s="547"/>
      <c r="C31" s="371" t="s">
        <v>477</v>
      </c>
      <c r="D31" s="369"/>
      <c r="E31" s="369"/>
      <c r="F31" s="369"/>
      <c r="G31" s="369"/>
      <c r="H31" s="370"/>
      <c r="I31" s="530"/>
      <c r="J31" s="528"/>
      <c r="K31" s="528"/>
      <c r="L31" s="528"/>
      <c r="M31" s="528"/>
      <c r="N31" s="528"/>
      <c r="O31" s="528"/>
      <c r="P31" s="528"/>
      <c r="Q31" s="528"/>
      <c r="R31" s="528"/>
      <c r="S31" s="528"/>
      <c r="T31" s="528"/>
      <c r="U31" s="528"/>
      <c r="V31" s="528"/>
      <c r="W31" s="528"/>
      <c r="X31" s="528"/>
      <c r="Y31" s="528"/>
      <c r="Z31" s="528"/>
      <c r="AA31" s="528"/>
      <c r="AB31" s="528"/>
      <c r="AC31" s="528"/>
      <c r="AD31" s="528"/>
      <c r="AE31" s="529"/>
      <c r="AH31" s="2" t="s">
        <v>635</v>
      </c>
    </row>
    <row r="32" spans="1:34" ht="24" customHeight="1">
      <c r="A32" s="520"/>
      <c r="B32" s="548"/>
      <c r="C32" s="49" t="s">
        <v>634</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45"/>
      <c r="AH32" s="2" t="s">
        <v>161</v>
      </c>
    </row>
    <row r="33" spans="1:34" ht="18.75" customHeight="1">
      <c r="A33" s="549"/>
      <c r="B33" s="548"/>
      <c r="C33" s="462" t="s">
        <v>13</v>
      </c>
      <c r="D33" s="454"/>
      <c r="E33" s="454"/>
      <c r="F33" s="455"/>
      <c r="G33" s="352" t="s">
        <v>174</v>
      </c>
      <c r="H33" s="353"/>
      <c r="I33" s="353"/>
      <c r="J33" s="354"/>
      <c r="K33" s="523"/>
      <c r="L33" s="524"/>
      <c r="M33" s="524"/>
      <c r="N33" s="524"/>
      <c r="O33" s="524"/>
      <c r="P33" s="524"/>
      <c r="Q33" s="524"/>
      <c r="R33" s="524"/>
      <c r="S33" s="524"/>
      <c r="T33" s="524"/>
      <c r="U33" s="524"/>
      <c r="V33" s="524"/>
      <c r="W33" s="524"/>
      <c r="X33" s="524"/>
      <c r="Y33" s="524"/>
      <c r="Z33" s="524"/>
      <c r="AA33" s="524"/>
      <c r="AB33" s="524"/>
      <c r="AC33" s="524"/>
      <c r="AD33" s="524"/>
      <c r="AE33" s="525"/>
      <c r="AH33" s="2" t="s">
        <v>633</v>
      </c>
    </row>
    <row r="34" spans="1:34" ht="13.5" customHeight="1">
      <c r="A34" s="549"/>
      <c r="B34" s="550"/>
      <c r="C34" s="563"/>
      <c r="D34" s="347"/>
      <c r="E34" s="347"/>
      <c r="F34" s="348"/>
      <c r="G34" s="352" t="s">
        <v>572</v>
      </c>
      <c r="H34" s="353"/>
      <c r="I34" s="353"/>
      <c r="J34" s="354"/>
      <c r="K34" s="526" t="s">
        <v>573</v>
      </c>
      <c r="L34" s="526"/>
      <c r="M34" s="526"/>
      <c r="N34" s="526"/>
      <c r="O34" s="526"/>
      <c r="P34" s="526"/>
      <c r="Q34" s="526"/>
      <c r="R34" s="526"/>
      <c r="S34" s="526"/>
      <c r="T34" s="526"/>
      <c r="U34" s="526"/>
      <c r="V34" s="526"/>
      <c r="W34" s="526"/>
      <c r="X34" s="526"/>
      <c r="Y34" s="526"/>
      <c r="Z34" s="526"/>
      <c r="AA34" s="526"/>
      <c r="AB34" s="526"/>
      <c r="AC34" s="526"/>
      <c r="AD34" s="526"/>
      <c r="AE34" s="527"/>
    </row>
    <row r="35" spans="1:34" ht="30" customHeight="1">
      <c r="A35" s="549"/>
      <c r="B35" s="550"/>
      <c r="C35" s="379"/>
      <c r="D35" s="350"/>
      <c r="E35" s="350"/>
      <c r="F35" s="351"/>
      <c r="G35" s="357"/>
      <c r="H35" s="358"/>
      <c r="I35" s="358"/>
      <c r="J35" s="359"/>
      <c r="K35" s="512"/>
      <c r="L35" s="512"/>
      <c r="M35" s="512"/>
      <c r="N35" s="512"/>
      <c r="O35" s="512"/>
      <c r="P35" s="512"/>
      <c r="Q35" s="512"/>
      <c r="R35" s="512"/>
      <c r="S35" s="512"/>
      <c r="T35" s="512"/>
      <c r="U35" s="512"/>
      <c r="V35" s="512"/>
      <c r="W35" s="512"/>
      <c r="X35" s="512"/>
      <c r="Y35" s="512"/>
      <c r="Z35" s="512"/>
      <c r="AA35" s="512"/>
      <c r="AB35" s="512"/>
      <c r="AC35" s="512"/>
      <c r="AD35" s="512"/>
      <c r="AE35" s="513"/>
    </row>
    <row r="36" spans="1:34" ht="28.5" customHeight="1">
      <c r="A36" s="549"/>
      <c r="B36" s="550"/>
      <c r="C36" s="371" t="s">
        <v>473</v>
      </c>
      <c r="D36" s="369"/>
      <c r="E36" s="369"/>
      <c r="F36" s="370"/>
      <c r="G36" s="530"/>
      <c r="H36" s="528"/>
      <c r="I36" s="528"/>
      <c r="J36" s="528"/>
      <c r="K36" s="528"/>
      <c r="L36" s="528"/>
      <c r="M36" s="528"/>
      <c r="N36" s="528"/>
      <c r="O36" s="528"/>
      <c r="P36" s="531"/>
      <c r="Q36" s="404" t="s">
        <v>11</v>
      </c>
      <c r="R36" s="405"/>
      <c r="S36" s="405"/>
      <c r="T36" s="406"/>
      <c r="U36" s="530"/>
      <c r="V36" s="528"/>
      <c r="W36" s="528"/>
      <c r="X36" s="528"/>
      <c r="Y36" s="528"/>
      <c r="Z36" s="528"/>
      <c r="AA36" s="528"/>
      <c r="AB36" s="528"/>
      <c r="AC36" s="528"/>
      <c r="AD36" s="528"/>
      <c r="AE36" s="529"/>
    </row>
    <row r="37" spans="1:34" ht="28.5" customHeight="1">
      <c r="A37" s="549"/>
      <c r="B37" s="548"/>
      <c r="C37" s="379" t="s">
        <v>164</v>
      </c>
      <c r="D37" s="514"/>
      <c r="E37" s="514"/>
      <c r="F37" s="380"/>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7"/>
    </row>
    <row r="38" spans="1:34">
      <c r="A38" s="50"/>
      <c r="B38" s="59"/>
      <c r="C38" s="44"/>
      <c r="D38" s="44"/>
      <c r="E38" s="44"/>
      <c r="F38" s="44"/>
      <c r="G38" s="44"/>
      <c r="H38" s="44"/>
      <c r="I38" s="51"/>
      <c r="J38" s="51"/>
      <c r="K38" s="51"/>
      <c r="L38" s="51"/>
      <c r="M38" s="51"/>
      <c r="N38" s="51"/>
      <c r="O38" s="51"/>
      <c r="P38" s="51"/>
      <c r="Q38" s="51"/>
      <c r="R38" s="51"/>
      <c r="S38" s="51"/>
      <c r="T38" s="52"/>
      <c r="U38" s="51"/>
      <c r="V38" s="51"/>
      <c r="W38" s="51"/>
      <c r="X38" s="51"/>
      <c r="Y38" s="51"/>
      <c r="Z38" s="51"/>
      <c r="AA38" s="51"/>
      <c r="AB38" s="51"/>
      <c r="AC38" s="51"/>
      <c r="AD38" s="51"/>
      <c r="AE38" s="53"/>
    </row>
    <row r="39" spans="1:34">
      <c r="A39" s="48"/>
      <c r="B39" s="97" t="s">
        <v>4</v>
      </c>
      <c r="C39" s="97"/>
      <c r="D39" s="97" t="s">
        <v>795</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45"/>
    </row>
    <row r="40" spans="1:34" ht="14.25" thickBot="1">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6"/>
    </row>
  </sheetData>
  <sheetProtection selectLockedCells="1"/>
  <mergeCells count="44">
    <mergeCell ref="A18:AE19"/>
    <mergeCell ref="A20:AE21"/>
    <mergeCell ref="A31:B37"/>
    <mergeCell ref="D13:AE13"/>
    <mergeCell ref="I31:AE31"/>
    <mergeCell ref="A22:I22"/>
    <mergeCell ref="J22:AE22"/>
    <mergeCell ref="G37:AE37"/>
    <mergeCell ref="C31:H31"/>
    <mergeCell ref="C37:F37"/>
    <mergeCell ref="A29:AE30"/>
    <mergeCell ref="G36:P36"/>
    <mergeCell ref="Q36:T36"/>
    <mergeCell ref="U36:AE36"/>
    <mergeCell ref="C36:F36"/>
    <mergeCell ref="C33:F35"/>
    <mergeCell ref="G34:J34"/>
    <mergeCell ref="K34:AE34"/>
    <mergeCell ref="G35:J35"/>
    <mergeCell ref="K35:AE35"/>
    <mergeCell ref="G33:J33"/>
    <mergeCell ref="K33:AE33"/>
    <mergeCell ref="A2:AE3"/>
    <mergeCell ref="A4:B10"/>
    <mergeCell ref="C5:F7"/>
    <mergeCell ref="G9:AE9"/>
    <mergeCell ref="C4:I4"/>
    <mergeCell ref="J5:AE5"/>
    <mergeCell ref="G5:I5"/>
    <mergeCell ref="G7:J7"/>
    <mergeCell ref="G6:J6"/>
    <mergeCell ref="K6:AE6"/>
    <mergeCell ref="Q8:T8"/>
    <mergeCell ref="U8:AE8"/>
    <mergeCell ref="G8:P8"/>
    <mergeCell ref="J4:AE4"/>
    <mergeCell ref="Q10:T10"/>
    <mergeCell ref="E10:P10"/>
    <mergeCell ref="D12:AE12"/>
    <mergeCell ref="U10:AE10"/>
    <mergeCell ref="K7:AE7"/>
    <mergeCell ref="C8:F8"/>
    <mergeCell ref="C9:F9"/>
    <mergeCell ref="C10:D10"/>
  </mergeCells>
  <phoneticPr fontId="2"/>
  <conditionalFormatting sqref="C38:H38">
    <cfRule type="expression" dxfId="187" priority="135" stopIfTrue="1">
      <formula>#REF!=1</formula>
    </cfRule>
    <cfRule type="expression" dxfId="186" priority="136" stopIfTrue="1">
      <formula>#REF!=2</formula>
    </cfRule>
  </conditionalFormatting>
  <conditionalFormatting sqref="E23:L27">
    <cfRule type="expression" dxfId="185" priority="54" stopIfTrue="1">
      <formula>C23=2</formula>
    </cfRule>
    <cfRule type="expression" dxfId="184" priority="55" stopIfTrue="1">
      <formula>C23=1</formula>
    </cfRule>
  </conditionalFormatting>
  <conditionalFormatting sqref="E10:P10">
    <cfRule type="expression" dxfId="183" priority="4">
      <formula>E10&lt;&gt;""</formula>
    </cfRule>
  </conditionalFormatting>
  <conditionalFormatting sqref="G7">
    <cfRule type="cellIs" dxfId="182" priority="2" stopIfTrue="1" operator="notEqual">
      <formula>""</formula>
    </cfRule>
  </conditionalFormatting>
  <conditionalFormatting sqref="G35">
    <cfRule type="cellIs" dxfId="181" priority="1" stopIfTrue="1" operator="notEqual">
      <formula>""</formula>
    </cfRule>
  </conditionalFormatting>
  <conditionalFormatting sqref="G36:G37 K33 K35 U36">
    <cfRule type="cellIs" dxfId="180" priority="43" operator="notEqual">
      <formula>""</formula>
    </cfRule>
  </conditionalFormatting>
  <conditionalFormatting sqref="G8:P8">
    <cfRule type="expression" dxfId="179" priority="6">
      <formula>G8&lt;&gt;""</formula>
    </cfRule>
  </conditionalFormatting>
  <conditionalFormatting sqref="G36:P36">
    <cfRule type="expression" dxfId="178" priority="36">
      <formula>G36&lt;&gt;""</formula>
    </cfRule>
  </conditionalFormatting>
  <conditionalFormatting sqref="G9:AE9">
    <cfRule type="expression" dxfId="177" priority="5">
      <formula>G9&lt;&gt;""</formula>
    </cfRule>
  </conditionalFormatting>
  <conditionalFormatting sqref="G37:AE37">
    <cfRule type="cellIs" dxfId="176" priority="42" stopIfTrue="1" operator="notEqual">
      <formula>""</formula>
    </cfRule>
  </conditionalFormatting>
  <conditionalFormatting sqref="I31:AE31">
    <cfRule type="expression" dxfId="175" priority="14">
      <formula>I31&lt;&gt;""</formula>
    </cfRule>
  </conditionalFormatting>
  <conditionalFormatting sqref="J22">
    <cfRule type="expression" dxfId="174" priority="39">
      <formula>J22&lt;&gt;""</formula>
    </cfRule>
  </conditionalFormatting>
  <conditionalFormatting sqref="J4:AE5">
    <cfRule type="expression" dxfId="173" priority="10">
      <formula>J4&lt;&gt;""</formula>
    </cfRule>
  </conditionalFormatting>
  <conditionalFormatting sqref="K7:AE7">
    <cfRule type="expression" dxfId="172" priority="8">
      <formula>K7&lt;&gt;""</formula>
    </cfRule>
  </conditionalFormatting>
  <conditionalFormatting sqref="K35:AE35">
    <cfRule type="expression" dxfId="171" priority="37">
      <formula>K35&lt;&gt;""</formula>
    </cfRule>
  </conditionalFormatting>
  <conditionalFormatting sqref="S23:Z27">
    <cfRule type="expression" dxfId="170" priority="56" stopIfTrue="1">
      <formula>C23=2</formula>
    </cfRule>
    <cfRule type="expression" dxfId="169" priority="57" stopIfTrue="1">
      <formula>C23=1</formula>
    </cfRule>
  </conditionalFormatting>
  <conditionalFormatting sqref="U8:AE8">
    <cfRule type="expression" dxfId="168" priority="7">
      <formula>U8&lt;&gt;""</formula>
    </cfRule>
  </conditionalFormatting>
  <conditionalFormatting sqref="U10:AE10">
    <cfRule type="expression" dxfId="167" priority="3">
      <formula>U10&lt;&gt;""</formula>
    </cfRule>
  </conditionalFormatting>
  <conditionalFormatting sqref="U36:AE36">
    <cfRule type="expression" dxfId="166" priority="35">
      <formula>U36&lt;&gt;""</formula>
    </cfRule>
  </conditionalFormatting>
  <dataValidations xWindow="36" yWindow="271" count="10">
    <dataValidation imeMode="off" allowBlank="1" showInputMessage="1" showErrorMessage="1" prompt="ファクシミリ番号を入力してください。" sqref="J11:R11" xr:uid="{00000000-0002-0000-0300-000000000000}"/>
    <dataValidation type="custom" imeMode="on" allowBlank="1" showInputMessage="1" showErrorMessage="1" error="すべて全角で入力してください。" sqref="G37:AE37 G9:AE9 K35:AE35" xr:uid="{00000000-0002-0000-0300-000001000000}">
      <formula1>G9=DBCS(G9)</formula1>
    </dataValidation>
    <dataValidation type="textLength" imeMode="disabled" operator="equal" allowBlank="1" showInputMessage="1" showErrorMessage="1" error="以下を確認してください。_x000a_・郵便番号は７桁です。_x000a_・ハイフンで区切ってください。" sqref="K33:AE33 J5:AE5" xr:uid="{00000000-0002-0000-0300-000003000000}">
      <formula1>8</formula1>
    </dataValidation>
    <dataValidation type="list" allowBlank="1" showInputMessage="1" showErrorMessage="1" sqref="I31:AE31" xr:uid="{00000000-0002-0000-0300-000004000000}">
      <formula1>$AH$31:$AH$33</formula1>
    </dataValidation>
    <dataValidation type="list" allowBlank="1" showInputMessage="1" showErrorMessage="1" sqref="J4:AE4" xr:uid="{00000000-0002-0000-0300-000005000000}">
      <formula1>"代理人を置く,代理人を置かない"</formula1>
    </dataValidation>
    <dataValidation type="custom" imeMode="on" allowBlank="1" showInputMessage="1" showErrorMessage="1" error="すべて全角で入力してください。" sqref="K7:AE7" xr:uid="{00000000-0002-0000-0300-000007000000}">
      <formula1>AND(K7=DBCS(K7))</formula1>
    </dataValidation>
    <dataValidation type="custom" imeMode="on" allowBlank="1" showInputMessage="1" showErrorMessage="1" error="・全角で入力してください。" sqref="E10:P10 U10:AE10" xr:uid="{00000000-0002-0000-0300-000009000000}">
      <formula1>E10=DBCS(E10)</formula1>
    </dataValidation>
    <dataValidation imeMode="disabled" allowBlank="1" showInputMessage="1" showErrorMessage="1" sqref="U8:AE8 G36:P36 U36:AE36 G8:P8" xr:uid="{15DC6CB0-32D8-4FE9-8B8F-CB28AAE1D5E0}"/>
    <dataValidation type="textLength" imeMode="on" operator="greaterThanOrEqual" allowBlank="1" showInputMessage="1" showErrorMessage="1" error="「都」「道」「府」「県」まで記入してください。_x000a_【良い例】新潟県_x000a_【悪い例】新潟" sqref="G7:J7 G35:J35" xr:uid="{B54ECE7A-812A-4236-B110-4D73200EABF6}">
      <formula1>3</formula1>
    </dataValidation>
    <dataValidation type="list" allowBlank="1" showErrorMessage="1" prompt="右のボタンから「登録する」か「登録しない」か選択してください。" sqref="J22:AE22" xr:uid="{55E3A0D9-B490-4986-A5F2-9CCFE1F37A4E}">
      <formula1>$AH$20:$AH$21</formula1>
    </dataValidation>
  </dataValidations>
  <pageMargins left="0.78740157480314965" right="0.39370078740157483" top="0.78740157480314965" bottom="0.78740157480314965" header="0.51181102362204722" footer="0.51181102362204722"/>
  <pageSetup paperSize="9"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4"/>
  <sheetViews>
    <sheetView showGridLines="0" view="pageBreakPreview" zoomScaleNormal="100" zoomScaleSheetLayoutView="100" workbookViewId="0">
      <selection activeCell="D145" sqref="D145"/>
    </sheetView>
  </sheetViews>
  <sheetFormatPr defaultColWidth="9" defaultRowHeight="13.5"/>
  <cols>
    <col min="1" max="1" width="2.75" style="152" customWidth="1"/>
    <col min="2" max="2" width="13.875" style="154" customWidth="1"/>
    <col min="3" max="3" width="2.875" style="125" customWidth="1"/>
    <col min="4" max="4" width="16.875" style="154" customWidth="1"/>
    <col min="5" max="5" width="2.75" style="125" customWidth="1"/>
    <col min="6" max="6" width="2.875" style="152" customWidth="1"/>
    <col min="7" max="7" width="16.125" style="154" customWidth="1"/>
    <col min="8" max="8" width="1.375" style="125" customWidth="1"/>
    <col min="9" max="9" width="2.875" style="125" customWidth="1"/>
    <col min="10" max="10" width="3" style="147" customWidth="1"/>
    <col min="11" max="11" width="16.125" style="155" customWidth="1"/>
    <col min="12" max="12" width="1.375" style="156" customWidth="1"/>
    <col min="13" max="13" width="2.875" style="156" customWidth="1"/>
    <col min="14" max="14" width="3" style="147" customWidth="1"/>
    <col min="15" max="15" width="16.125" style="155" customWidth="1"/>
    <col min="16" max="16" width="1.25" style="156" customWidth="1"/>
    <col min="17" max="17" width="1.25" style="154" customWidth="1"/>
    <col min="18" max="19" width="6.625" style="152" customWidth="1"/>
    <col min="20" max="20" width="7.25" style="172" customWidth="1"/>
    <col min="21" max="22" width="7.25" style="165" customWidth="1"/>
    <col min="23" max="23" width="0" style="146" hidden="1" customWidth="1"/>
    <col min="24" max="16384" width="9" style="125"/>
  </cols>
  <sheetData>
    <row r="1" spans="1:23">
      <c r="A1" s="114" t="s">
        <v>179</v>
      </c>
      <c r="B1" s="115"/>
      <c r="C1" s="116" t="s">
        <v>186</v>
      </c>
      <c r="D1" s="115"/>
      <c r="E1" s="117"/>
      <c r="F1" s="118"/>
      <c r="G1" s="119"/>
      <c r="H1" s="117"/>
      <c r="I1" s="117"/>
      <c r="J1" s="120"/>
      <c r="K1" s="121"/>
      <c r="L1" s="122"/>
      <c r="M1" s="122"/>
      <c r="N1" s="120"/>
      <c r="O1" s="121"/>
      <c r="P1" s="122"/>
      <c r="Q1" s="123"/>
      <c r="R1" s="124"/>
      <c r="S1" s="125"/>
      <c r="T1" s="165"/>
      <c r="W1" s="126" t="s">
        <v>636</v>
      </c>
    </row>
    <row r="2" spans="1:23" ht="24.75" customHeight="1" thickBot="1">
      <c r="A2" s="127" t="s">
        <v>508</v>
      </c>
      <c r="B2" s="128" t="s">
        <v>15</v>
      </c>
      <c r="C2" s="129" t="s">
        <v>508</v>
      </c>
      <c r="D2" s="130" t="s">
        <v>15</v>
      </c>
      <c r="E2" s="131" t="s">
        <v>22</v>
      </c>
      <c r="F2" s="132"/>
      <c r="G2" s="133"/>
      <c r="H2" s="134"/>
      <c r="I2" s="134"/>
      <c r="J2" s="135"/>
      <c r="K2" s="136"/>
      <c r="L2" s="137"/>
      <c r="M2" s="137"/>
      <c r="N2" s="135"/>
      <c r="O2" s="136"/>
      <c r="P2" s="137"/>
      <c r="Q2" s="138"/>
      <c r="R2" s="139"/>
      <c r="S2" s="140"/>
      <c r="T2" s="161" t="s">
        <v>613</v>
      </c>
      <c r="W2" s="126" t="s">
        <v>637</v>
      </c>
    </row>
    <row r="3" spans="1:23" ht="18.75" customHeight="1">
      <c r="A3" s="623">
        <v>1</v>
      </c>
      <c r="B3" s="624" t="s">
        <v>180</v>
      </c>
      <c r="C3" s="625">
        <v>1</v>
      </c>
      <c r="D3" s="626" t="s">
        <v>187</v>
      </c>
      <c r="E3" s="627" t="s">
        <v>638</v>
      </c>
      <c r="F3" s="628">
        <v>1</v>
      </c>
      <c r="G3" s="629" t="s">
        <v>188</v>
      </c>
      <c r="H3" s="630"/>
      <c r="I3" s="631" t="s">
        <v>824</v>
      </c>
      <c r="J3" s="632">
        <v>2</v>
      </c>
      <c r="K3" s="633" t="s">
        <v>189</v>
      </c>
      <c r="L3" s="634"/>
      <c r="M3" s="635" t="s">
        <v>638</v>
      </c>
      <c r="N3" s="632">
        <v>3</v>
      </c>
      <c r="O3" s="633" t="s">
        <v>509</v>
      </c>
      <c r="P3" s="634"/>
      <c r="Q3" s="142"/>
      <c r="R3" s="565"/>
      <c r="S3" s="143"/>
      <c r="T3" s="166" t="str">
        <f>IF(E3="■","010101","")</f>
        <v/>
      </c>
      <c r="U3" s="167" t="str">
        <f>IF(I3="■","010102","")</f>
        <v/>
      </c>
      <c r="V3" s="184" t="str">
        <f>IF(M3="■","010103","")</f>
        <v/>
      </c>
      <c r="W3" s="144"/>
    </row>
    <row r="4" spans="1:23">
      <c r="A4" s="636"/>
      <c r="B4" s="624"/>
      <c r="C4" s="637"/>
      <c r="D4" s="626"/>
      <c r="E4" s="627" t="s">
        <v>638</v>
      </c>
      <c r="F4" s="638">
        <v>4</v>
      </c>
      <c r="G4" s="629" t="s">
        <v>190</v>
      </c>
      <c r="H4" s="630"/>
      <c r="I4" s="639" t="s">
        <v>638</v>
      </c>
      <c r="J4" s="632">
        <v>5</v>
      </c>
      <c r="K4" s="633" t="s">
        <v>191</v>
      </c>
      <c r="L4" s="634"/>
      <c r="M4" s="640"/>
      <c r="N4" s="632"/>
      <c r="O4" s="633"/>
      <c r="P4" s="634"/>
      <c r="Q4" s="142"/>
      <c r="R4" s="565"/>
      <c r="S4" s="145"/>
      <c r="T4" s="168" t="str">
        <f>IF(E4="■","010104","")</f>
        <v/>
      </c>
      <c r="U4" s="169" t="str">
        <f>IF(I4="■","010105","")</f>
        <v/>
      </c>
      <c r="V4" s="185"/>
    </row>
    <row r="5" spans="1:23">
      <c r="A5" s="641"/>
      <c r="B5" s="642"/>
      <c r="C5" s="637"/>
      <c r="D5" s="643"/>
      <c r="E5" s="196"/>
      <c r="F5" s="638"/>
      <c r="G5" s="629"/>
      <c r="H5" s="630"/>
      <c r="I5" s="644"/>
      <c r="J5" s="632"/>
      <c r="K5" s="633"/>
      <c r="L5" s="634"/>
      <c r="M5" s="645"/>
      <c r="N5" s="632"/>
      <c r="O5" s="633"/>
      <c r="P5" s="634"/>
      <c r="Q5" s="142"/>
      <c r="R5" s="565"/>
      <c r="S5" s="145"/>
      <c r="T5" s="168"/>
      <c r="U5" s="169"/>
      <c r="V5" s="185"/>
    </row>
    <row r="6" spans="1:23">
      <c r="A6" s="641"/>
      <c r="B6" s="642"/>
      <c r="C6" s="646"/>
      <c r="D6" s="647"/>
      <c r="E6" s="648" t="s">
        <v>638</v>
      </c>
      <c r="F6" s="649">
        <v>99</v>
      </c>
      <c r="G6" s="650" t="s">
        <v>23</v>
      </c>
      <c r="H6" s="651"/>
      <c r="I6" s="652" t="s">
        <v>16</v>
      </c>
      <c r="J6" s="653"/>
      <c r="K6" s="653"/>
      <c r="L6" s="653"/>
      <c r="M6" s="653"/>
      <c r="N6" s="653"/>
      <c r="O6" s="653"/>
      <c r="P6" s="653"/>
      <c r="Q6" s="148" t="s">
        <v>17</v>
      </c>
      <c r="R6" s="149" t="str">
        <f>IF(E6="■","←必須","")</f>
        <v/>
      </c>
      <c r="S6" s="570"/>
      <c r="T6" s="170" t="str">
        <f>IF(E6="■","010199","")</f>
        <v/>
      </c>
      <c r="U6" s="171"/>
      <c r="V6" s="186"/>
    </row>
    <row r="7" spans="1:23">
      <c r="A7" s="641"/>
      <c r="B7" s="654"/>
      <c r="C7" s="655">
        <v>2</v>
      </c>
      <c r="D7" s="656" t="s">
        <v>192</v>
      </c>
      <c r="E7" s="627" t="s">
        <v>638</v>
      </c>
      <c r="F7" s="657">
        <v>1</v>
      </c>
      <c r="G7" s="658" t="s">
        <v>548</v>
      </c>
      <c r="H7" s="659"/>
      <c r="I7" s="660" t="s">
        <v>638</v>
      </c>
      <c r="J7" s="661">
        <v>2</v>
      </c>
      <c r="K7" s="662" t="s">
        <v>193</v>
      </c>
      <c r="L7" s="663"/>
      <c r="M7" s="660" t="s">
        <v>638</v>
      </c>
      <c r="N7" s="661">
        <v>3</v>
      </c>
      <c r="O7" s="662" t="s">
        <v>510</v>
      </c>
      <c r="P7" s="663"/>
      <c r="Q7" s="150"/>
      <c r="R7" s="571"/>
      <c r="S7" s="570"/>
      <c r="T7" s="166" t="str">
        <f>IF(E7="■","010201","")</f>
        <v/>
      </c>
      <c r="U7" s="167" t="str">
        <f>IF(I7="■","010202","")</f>
        <v/>
      </c>
      <c r="V7" s="184" t="str">
        <f>IF(M7="■","010203","")</f>
        <v/>
      </c>
      <c r="W7" s="126"/>
    </row>
    <row r="8" spans="1:23">
      <c r="A8" s="641"/>
      <c r="B8" s="654"/>
      <c r="C8" s="637"/>
      <c r="D8" s="626"/>
      <c r="E8" s="627" t="s">
        <v>638</v>
      </c>
      <c r="F8" s="638">
        <v>4</v>
      </c>
      <c r="G8" s="629" t="s">
        <v>511</v>
      </c>
      <c r="H8" s="630"/>
      <c r="I8" s="639" t="s">
        <v>638</v>
      </c>
      <c r="J8" s="632">
        <v>5</v>
      </c>
      <c r="K8" s="633" t="s">
        <v>194</v>
      </c>
      <c r="L8" s="634"/>
      <c r="M8" s="639" t="s">
        <v>638</v>
      </c>
      <c r="N8" s="632">
        <v>6</v>
      </c>
      <c r="O8" s="633" t="s">
        <v>512</v>
      </c>
      <c r="P8" s="634"/>
      <c r="Q8" s="142"/>
      <c r="R8" s="571"/>
      <c r="S8" s="145"/>
      <c r="T8" s="168" t="str">
        <f>IF(E8="■","010204","")</f>
        <v/>
      </c>
      <c r="U8" s="169" t="str">
        <f>IF(I8="■","010205","")</f>
        <v/>
      </c>
      <c r="V8" s="185" t="str">
        <f>IF(M8="■","010206","")</f>
        <v/>
      </c>
    </row>
    <row r="9" spans="1:23">
      <c r="A9" s="641"/>
      <c r="B9" s="642"/>
      <c r="C9" s="637"/>
      <c r="D9" s="643"/>
      <c r="E9" s="627" t="s">
        <v>638</v>
      </c>
      <c r="F9" s="638">
        <v>7</v>
      </c>
      <c r="G9" s="629" t="s">
        <v>471</v>
      </c>
      <c r="H9" s="630"/>
      <c r="I9" s="639" t="s">
        <v>638</v>
      </c>
      <c r="J9" s="632">
        <v>8</v>
      </c>
      <c r="K9" s="633" t="s">
        <v>195</v>
      </c>
      <c r="L9" s="634"/>
      <c r="M9" s="639" t="s">
        <v>638</v>
      </c>
      <c r="N9" s="632">
        <v>9</v>
      </c>
      <c r="O9" s="633" t="s">
        <v>196</v>
      </c>
      <c r="P9" s="634"/>
      <c r="Q9" s="142"/>
      <c r="R9" s="571"/>
      <c r="S9" s="145"/>
      <c r="T9" s="168" t="str">
        <f>IF(E9="■","010207","")</f>
        <v/>
      </c>
      <c r="U9" s="169" t="str">
        <f>IF(I9="■","010208","")</f>
        <v/>
      </c>
      <c r="V9" s="185" t="str">
        <f>IF(M9="■","010209","")</f>
        <v/>
      </c>
    </row>
    <row r="10" spans="1:23">
      <c r="A10" s="641"/>
      <c r="B10" s="642"/>
      <c r="C10" s="637"/>
      <c r="D10" s="643"/>
      <c r="E10" s="627" t="s">
        <v>638</v>
      </c>
      <c r="F10" s="638">
        <v>10</v>
      </c>
      <c r="G10" s="664" t="s">
        <v>549</v>
      </c>
      <c r="H10" s="630"/>
      <c r="I10" s="665"/>
      <c r="J10" s="632"/>
      <c r="K10" s="633"/>
      <c r="L10" s="634"/>
      <c r="M10" s="645"/>
      <c r="N10" s="632"/>
      <c r="O10" s="633"/>
      <c r="P10" s="634"/>
      <c r="Q10" s="142"/>
      <c r="R10" s="571"/>
      <c r="S10" s="145"/>
      <c r="T10" s="168" t="str">
        <f>IF(E10="■","010210","")</f>
        <v/>
      </c>
      <c r="U10" s="169"/>
      <c r="V10" s="185"/>
    </row>
    <row r="11" spans="1:23">
      <c r="A11" s="666"/>
      <c r="B11" s="667"/>
      <c r="C11" s="646"/>
      <c r="D11" s="647"/>
      <c r="E11" s="648" t="s">
        <v>638</v>
      </c>
      <c r="F11" s="649">
        <v>99</v>
      </c>
      <c r="G11" s="650" t="s">
        <v>197</v>
      </c>
      <c r="H11" s="651"/>
      <c r="I11" s="652" t="s">
        <v>16</v>
      </c>
      <c r="J11" s="653"/>
      <c r="K11" s="653"/>
      <c r="L11" s="653"/>
      <c r="M11" s="653"/>
      <c r="N11" s="653"/>
      <c r="O11" s="653"/>
      <c r="P11" s="653"/>
      <c r="Q11" s="148" t="s">
        <v>17</v>
      </c>
      <c r="R11" s="149" t="str">
        <f>IF(E11="■","←必須","")</f>
        <v/>
      </c>
      <c r="S11" s="151"/>
      <c r="T11" s="170" t="str">
        <f>IF(E11="■","010299","")</f>
        <v/>
      </c>
      <c r="U11" s="171"/>
      <c r="V11" s="186"/>
    </row>
    <row r="12" spans="1:23">
      <c r="A12" s="668">
        <v>2</v>
      </c>
      <c r="B12" s="669" t="s">
        <v>198</v>
      </c>
      <c r="C12" s="655">
        <v>1</v>
      </c>
      <c r="D12" s="656" t="s">
        <v>199</v>
      </c>
      <c r="E12" s="627" t="s">
        <v>638</v>
      </c>
      <c r="F12" s="657">
        <v>1</v>
      </c>
      <c r="G12" s="670" t="s">
        <v>200</v>
      </c>
      <c r="H12" s="659"/>
      <c r="I12" s="660" t="s">
        <v>638</v>
      </c>
      <c r="J12" s="661">
        <v>2</v>
      </c>
      <c r="K12" s="662" t="s">
        <v>201</v>
      </c>
      <c r="L12" s="663"/>
      <c r="M12" s="660" t="s">
        <v>638</v>
      </c>
      <c r="N12" s="661">
        <v>3</v>
      </c>
      <c r="O12" s="662" t="s">
        <v>202</v>
      </c>
      <c r="P12" s="663"/>
      <c r="Q12" s="150"/>
      <c r="R12" s="565"/>
      <c r="S12" s="151"/>
      <c r="T12" s="168" t="str">
        <f>IF(E12="■","020101","")</f>
        <v/>
      </c>
      <c r="U12" s="169" t="str">
        <f>IF(I12="■","020102","")</f>
        <v/>
      </c>
      <c r="V12" s="185" t="str">
        <f>IF(M12="■","020103","")</f>
        <v/>
      </c>
    </row>
    <row r="13" spans="1:23">
      <c r="A13" s="641"/>
      <c r="B13" s="654"/>
      <c r="C13" s="637"/>
      <c r="D13" s="626"/>
      <c r="E13" s="627" t="s">
        <v>638</v>
      </c>
      <c r="F13" s="638">
        <v>4</v>
      </c>
      <c r="G13" s="629" t="s">
        <v>203</v>
      </c>
      <c r="H13" s="630"/>
      <c r="I13" s="639" t="s">
        <v>638</v>
      </c>
      <c r="J13" s="632">
        <v>5</v>
      </c>
      <c r="K13" s="633" t="s">
        <v>204</v>
      </c>
      <c r="L13" s="634"/>
      <c r="M13" s="639" t="s">
        <v>638</v>
      </c>
      <c r="N13" s="632">
        <v>6</v>
      </c>
      <c r="O13" s="633" t="s">
        <v>205</v>
      </c>
      <c r="P13" s="634"/>
      <c r="Q13" s="142"/>
      <c r="R13" s="565"/>
      <c r="T13" s="168" t="str">
        <f>IF(E13="■","020104","")</f>
        <v/>
      </c>
      <c r="U13" s="169" t="str">
        <f>IF(I13="■","020105","")</f>
        <v/>
      </c>
      <c r="V13" s="185" t="str">
        <f>IF(M13="■","020106","")</f>
        <v/>
      </c>
    </row>
    <row r="14" spans="1:23">
      <c r="A14" s="641"/>
      <c r="B14" s="642"/>
      <c r="C14" s="637"/>
      <c r="D14" s="643"/>
      <c r="E14" s="627" t="s">
        <v>638</v>
      </c>
      <c r="F14" s="638">
        <v>7</v>
      </c>
      <c r="G14" s="629" t="s">
        <v>513</v>
      </c>
      <c r="H14" s="630"/>
      <c r="I14" s="639" t="s">
        <v>638</v>
      </c>
      <c r="J14" s="632">
        <v>8</v>
      </c>
      <c r="K14" s="633" t="s">
        <v>206</v>
      </c>
      <c r="L14" s="634"/>
      <c r="M14" s="639" t="s">
        <v>638</v>
      </c>
      <c r="N14" s="632">
        <v>9</v>
      </c>
      <c r="O14" s="671" t="s">
        <v>547</v>
      </c>
      <c r="P14" s="634"/>
      <c r="Q14" s="142"/>
      <c r="R14" s="565"/>
      <c r="T14" s="168" t="str">
        <f>IF(E14="■","020107","")</f>
        <v/>
      </c>
      <c r="U14" s="169" t="str">
        <f>IF(I14="■","020108","")</f>
        <v/>
      </c>
      <c r="V14" s="185" t="str">
        <f>IF(M14="■","020109","")</f>
        <v/>
      </c>
    </row>
    <row r="15" spans="1:23" ht="14.25" customHeight="1">
      <c r="A15" s="666"/>
      <c r="B15" s="667"/>
      <c r="C15" s="646"/>
      <c r="D15" s="647"/>
      <c r="E15" s="648" t="s">
        <v>638</v>
      </c>
      <c r="F15" s="649">
        <v>99</v>
      </c>
      <c r="G15" s="650" t="s">
        <v>207</v>
      </c>
      <c r="H15" s="651"/>
      <c r="I15" s="652" t="s">
        <v>16</v>
      </c>
      <c r="J15" s="672"/>
      <c r="K15" s="672"/>
      <c r="L15" s="672"/>
      <c r="M15" s="672"/>
      <c r="N15" s="672"/>
      <c r="O15" s="672"/>
      <c r="P15" s="672"/>
      <c r="Q15" s="148" t="s">
        <v>17</v>
      </c>
      <c r="R15" s="149" t="str">
        <f>IF(E15="■","←必須","")</f>
        <v/>
      </c>
      <c r="S15" s="151"/>
      <c r="T15" s="170" t="str">
        <f>IF(E15="■","020199","")</f>
        <v/>
      </c>
      <c r="U15" s="171"/>
      <c r="V15" s="186"/>
    </row>
    <row r="16" spans="1:23">
      <c r="A16" s="668">
        <v>3</v>
      </c>
      <c r="B16" s="673" t="s">
        <v>181</v>
      </c>
      <c r="C16" s="655">
        <v>1</v>
      </c>
      <c r="D16" s="656" t="s">
        <v>208</v>
      </c>
      <c r="E16" s="627" t="s">
        <v>638</v>
      </c>
      <c r="F16" s="657">
        <v>1</v>
      </c>
      <c r="G16" s="670" t="s">
        <v>209</v>
      </c>
      <c r="H16" s="659"/>
      <c r="I16" s="660" t="s">
        <v>638</v>
      </c>
      <c r="J16" s="661">
        <v>2</v>
      </c>
      <c r="K16" s="662" t="s">
        <v>210</v>
      </c>
      <c r="L16" s="663"/>
      <c r="M16" s="660" t="s">
        <v>638</v>
      </c>
      <c r="N16" s="661">
        <v>3</v>
      </c>
      <c r="O16" s="662" t="s">
        <v>211</v>
      </c>
      <c r="P16" s="663"/>
      <c r="Q16" s="150"/>
      <c r="R16" s="565"/>
      <c r="S16" s="151"/>
      <c r="T16" s="166" t="str">
        <f>IF(E16="■","030101","")</f>
        <v/>
      </c>
      <c r="U16" s="167" t="str">
        <f>IF(I16="■","030102","")</f>
        <v/>
      </c>
      <c r="V16" s="184" t="str">
        <f>IF(M16="■","030103","")</f>
        <v/>
      </c>
    </row>
    <row r="17" spans="1:22">
      <c r="A17" s="641"/>
      <c r="B17" s="624"/>
      <c r="C17" s="637"/>
      <c r="D17" s="626"/>
      <c r="E17" s="627" t="s">
        <v>638</v>
      </c>
      <c r="F17" s="638">
        <v>4</v>
      </c>
      <c r="G17" s="629" t="s">
        <v>29</v>
      </c>
      <c r="H17" s="630"/>
      <c r="I17" s="639" t="s">
        <v>638</v>
      </c>
      <c r="J17" s="632">
        <v>5</v>
      </c>
      <c r="K17" s="633" t="s">
        <v>30</v>
      </c>
      <c r="L17" s="634"/>
      <c r="M17" s="645" t="b">
        <v>0</v>
      </c>
      <c r="N17" s="632"/>
      <c r="O17" s="633"/>
      <c r="P17" s="634"/>
      <c r="Q17" s="142"/>
      <c r="R17" s="565"/>
      <c r="T17" s="168" t="str">
        <f>IF(E17="■","030104","")</f>
        <v/>
      </c>
      <c r="U17" s="169" t="str">
        <f>IF(I17="■","030105","")</f>
        <v/>
      </c>
      <c r="V17" s="185"/>
    </row>
    <row r="18" spans="1:22">
      <c r="A18" s="641"/>
      <c r="B18" s="642"/>
      <c r="C18" s="637"/>
      <c r="D18" s="643"/>
      <c r="E18" s="674"/>
      <c r="F18" s="638"/>
      <c r="G18" s="629"/>
      <c r="H18" s="630"/>
      <c r="I18" s="665" t="b">
        <v>0</v>
      </c>
      <c r="J18" s="632"/>
      <c r="K18" s="633"/>
      <c r="L18" s="634"/>
      <c r="M18" s="645" t="b">
        <v>0</v>
      </c>
      <c r="N18" s="632"/>
      <c r="O18" s="633"/>
      <c r="P18" s="634"/>
      <c r="Q18" s="142"/>
      <c r="R18" s="565"/>
      <c r="S18" s="125"/>
      <c r="T18" s="168"/>
      <c r="U18" s="169" t="str">
        <f>IF(I18="■","030105","")</f>
        <v/>
      </c>
      <c r="V18" s="185"/>
    </row>
    <row r="19" spans="1:22" ht="15.75" customHeight="1">
      <c r="A19" s="641"/>
      <c r="B19" s="642"/>
      <c r="C19" s="646"/>
      <c r="D19" s="647"/>
      <c r="E19" s="648" t="s">
        <v>638</v>
      </c>
      <c r="F19" s="649">
        <v>99</v>
      </c>
      <c r="G19" s="650" t="s">
        <v>212</v>
      </c>
      <c r="H19" s="651"/>
      <c r="I19" s="652" t="s">
        <v>16</v>
      </c>
      <c r="J19" s="653"/>
      <c r="K19" s="653"/>
      <c r="L19" s="653"/>
      <c r="M19" s="653"/>
      <c r="N19" s="653"/>
      <c r="O19" s="653"/>
      <c r="P19" s="653"/>
      <c r="Q19" s="148" t="s">
        <v>17</v>
      </c>
      <c r="R19" s="149" t="str">
        <f>IF(E19="■","←必須","")</f>
        <v/>
      </c>
      <c r="S19" s="151"/>
      <c r="T19" s="170" t="str">
        <f>IF(E19="■","030199","")</f>
        <v/>
      </c>
      <c r="U19" s="171"/>
      <c r="V19" s="186"/>
    </row>
    <row r="20" spans="1:22" ht="14.25" customHeight="1">
      <c r="A20" s="641"/>
      <c r="B20" s="654"/>
      <c r="C20" s="655">
        <v>2</v>
      </c>
      <c r="D20" s="656" t="s">
        <v>487</v>
      </c>
      <c r="E20" s="627" t="s">
        <v>638</v>
      </c>
      <c r="F20" s="657">
        <v>1</v>
      </c>
      <c r="G20" s="670" t="s">
        <v>209</v>
      </c>
      <c r="H20" s="659"/>
      <c r="I20" s="660" t="s">
        <v>638</v>
      </c>
      <c r="J20" s="661">
        <v>2</v>
      </c>
      <c r="K20" s="662" t="s">
        <v>210</v>
      </c>
      <c r="L20" s="663"/>
      <c r="M20" s="660" t="s">
        <v>638</v>
      </c>
      <c r="N20" s="661">
        <v>3</v>
      </c>
      <c r="O20" s="662" t="s">
        <v>211</v>
      </c>
      <c r="P20" s="663"/>
      <c r="Q20" s="150"/>
      <c r="R20" s="565"/>
      <c r="S20" s="151"/>
      <c r="T20" s="166" t="str">
        <f>IF(E20="■","030201","")</f>
        <v/>
      </c>
      <c r="U20" s="167" t="str">
        <f>IF(I20="■","030202","")</f>
        <v/>
      </c>
      <c r="V20" s="184" t="str">
        <f>IF(M20="■","030203","")</f>
        <v/>
      </c>
    </row>
    <row r="21" spans="1:22">
      <c r="A21" s="641"/>
      <c r="B21" s="654"/>
      <c r="C21" s="637"/>
      <c r="D21" s="626"/>
      <c r="E21" s="627" t="s">
        <v>638</v>
      </c>
      <c r="F21" s="638">
        <v>4</v>
      </c>
      <c r="G21" s="629" t="s">
        <v>514</v>
      </c>
      <c r="H21" s="630"/>
      <c r="I21" s="639" t="s">
        <v>638</v>
      </c>
      <c r="J21" s="632">
        <v>5</v>
      </c>
      <c r="K21" s="633" t="s">
        <v>213</v>
      </c>
      <c r="L21" s="634"/>
      <c r="M21" s="639" t="s">
        <v>638</v>
      </c>
      <c r="N21" s="632">
        <v>6</v>
      </c>
      <c r="O21" s="633" t="s">
        <v>214</v>
      </c>
      <c r="P21" s="634"/>
      <c r="Q21" s="142"/>
      <c r="R21" s="565"/>
      <c r="S21" s="125"/>
      <c r="T21" s="168" t="str">
        <f>IF(E21="■","030204","")</f>
        <v/>
      </c>
      <c r="U21" s="169" t="str">
        <f>IF(I21="■","030205","")</f>
        <v/>
      </c>
      <c r="V21" s="185" t="str">
        <f>IF(M21="■","030206","")</f>
        <v/>
      </c>
    </row>
    <row r="22" spans="1:22">
      <c r="A22" s="641"/>
      <c r="B22" s="642"/>
      <c r="C22" s="637"/>
      <c r="D22" s="643" t="s">
        <v>215</v>
      </c>
      <c r="E22" s="627" t="s">
        <v>638</v>
      </c>
      <c r="F22" s="638">
        <v>7</v>
      </c>
      <c r="G22" s="629" t="s">
        <v>216</v>
      </c>
      <c r="H22" s="630"/>
      <c r="I22" s="639" t="s">
        <v>638</v>
      </c>
      <c r="J22" s="632">
        <v>8</v>
      </c>
      <c r="K22" s="633" t="s">
        <v>29</v>
      </c>
      <c r="L22" s="634"/>
      <c r="M22" s="639" t="s">
        <v>638</v>
      </c>
      <c r="N22" s="632">
        <v>9</v>
      </c>
      <c r="O22" s="633" t="s">
        <v>30</v>
      </c>
      <c r="P22" s="634"/>
      <c r="Q22" s="142"/>
      <c r="R22" s="565"/>
      <c r="S22" s="125"/>
      <c r="T22" s="168" t="str">
        <f>IF(E22="■","030207","")</f>
        <v/>
      </c>
      <c r="U22" s="169" t="str">
        <f>IF(I22="■","030208","")</f>
        <v/>
      </c>
      <c r="V22" s="185" t="str">
        <f>IF(M22="■","030209","")</f>
        <v/>
      </c>
    </row>
    <row r="23" spans="1:22" ht="17.25" customHeight="1">
      <c r="A23" s="641"/>
      <c r="B23" s="642"/>
      <c r="C23" s="646"/>
      <c r="D23" s="647"/>
      <c r="E23" s="648" t="s">
        <v>638</v>
      </c>
      <c r="F23" s="649">
        <v>99</v>
      </c>
      <c r="G23" s="675" t="s">
        <v>498</v>
      </c>
      <c r="H23" s="651"/>
      <c r="I23" s="651" t="s">
        <v>16</v>
      </c>
      <c r="J23" s="653"/>
      <c r="K23" s="653"/>
      <c r="L23" s="653"/>
      <c r="M23" s="653"/>
      <c r="N23" s="653"/>
      <c r="O23" s="653"/>
      <c r="P23" s="653"/>
      <c r="Q23" s="148" t="s">
        <v>17</v>
      </c>
      <c r="R23" s="149" t="str">
        <f>IF(E23="■","←必須","")</f>
        <v/>
      </c>
      <c r="S23" s="151"/>
      <c r="T23" s="170" t="str">
        <f>IF(E23="■","030299","")</f>
        <v/>
      </c>
      <c r="U23" s="171"/>
      <c r="V23" s="186"/>
    </row>
    <row r="24" spans="1:22" ht="13.5" customHeight="1">
      <c r="A24" s="641"/>
      <c r="B24" s="654"/>
      <c r="C24" s="655">
        <v>3</v>
      </c>
      <c r="D24" s="656" t="s">
        <v>217</v>
      </c>
      <c r="E24" s="627" t="s">
        <v>638</v>
      </c>
      <c r="F24" s="657">
        <v>1</v>
      </c>
      <c r="G24" s="670" t="s">
        <v>218</v>
      </c>
      <c r="H24" s="659"/>
      <c r="I24" s="660" t="s">
        <v>638</v>
      </c>
      <c r="J24" s="661">
        <v>2</v>
      </c>
      <c r="K24" s="662" t="s">
        <v>219</v>
      </c>
      <c r="L24" s="663"/>
      <c r="M24" s="660" t="s">
        <v>638</v>
      </c>
      <c r="N24" s="661">
        <v>3</v>
      </c>
      <c r="O24" s="662" t="s">
        <v>220</v>
      </c>
      <c r="P24" s="663"/>
      <c r="Q24" s="150"/>
      <c r="R24" s="565"/>
      <c r="S24" s="151"/>
      <c r="T24" s="166" t="str">
        <f>IF(E24="■","030301","")</f>
        <v/>
      </c>
      <c r="U24" s="167" t="str">
        <f>IF(I24="■","030302","")</f>
        <v/>
      </c>
      <c r="V24" s="184" t="str">
        <f>IF(M24="■","030303","")</f>
        <v/>
      </c>
    </row>
    <row r="25" spans="1:22">
      <c r="A25" s="641"/>
      <c r="B25" s="654"/>
      <c r="C25" s="637"/>
      <c r="D25" s="626"/>
      <c r="E25" s="627" t="s">
        <v>638</v>
      </c>
      <c r="F25" s="638">
        <v>4</v>
      </c>
      <c r="G25" s="629" t="s">
        <v>213</v>
      </c>
      <c r="H25" s="630"/>
      <c r="I25" s="639" t="s">
        <v>638</v>
      </c>
      <c r="J25" s="632">
        <v>5</v>
      </c>
      <c r="K25" s="633" t="s">
        <v>221</v>
      </c>
      <c r="L25" s="634"/>
      <c r="M25" s="645" t="b">
        <v>0</v>
      </c>
      <c r="N25" s="632"/>
      <c r="O25" s="633"/>
      <c r="P25" s="634"/>
      <c r="Q25" s="142"/>
      <c r="R25" s="565"/>
      <c r="S25" s="125"/>
      <c r="T25" s="168" t="str">
        <f>IF(E25="■","030304","")</f>
        <v/>
      </c>
      <c r="U25" s="169" t="str">
        <f>IF(I25="■","030305","")</f>
        <v/>
      </c>
      <c r="V25" s="185"/>
    </row>
    <row r="26" spans="1:22">
      <c r="A26" s="641"/>
      <c r="B26" s="642"/>
      <c r="C26" s="637"/>
      <c r="D26" s="643"/>
      <c r="E26" s="676" t="b">
        <v>0</v>
      </c>
      <c r="F26" s="638"/>
      <c r="G26" s="629"/>
      <c r="H26" s="630"/>
      <c r="I26" s="665" t="b">
        <v>0</v>
      </c>
      <c r="J26" s="632"/>
      <c r="K26" s="633"/>
      <c r="L26" s="634"/>
      <c r="M26" s="645" t="b">
        <v>0</v>
      </c>
      <c r="N26" s="632"/>
      <c r="O26" s="633"/>
      <c r="P26" s="634"/>
      <c r="Q26" s="142"/>
      <c r="R26" s="565"/>
      <c r="S26" s="125"/>
      <c r="T26" s="168"/>
      <c r="U26" s="169"/>
      <c r="V26" s="185"/>
    </row>
    <row r="27" spans="1:22" ht="15.75" customHeight="1">
      <c r="A27" s="641"/>
      <c r="B27" s="642"/>
      <c r="C27" s="646"/>
      <c r="D27" s="647"/>
      <c r="E27" s="648" t="s">
        <v>638</v>
      </c>
      <c r="F27" s="649">
        <v>99</v>
      </c>
      <c r="G27" s="650" t="s">
        <v>222</v>
      </c>
      <c r="H27" s="651"/>
      <c r="I27" s="652" t="s">
        <v>16</v>
      </c>
      <c r="J27" s="653"/>
      <c r="K27" s="653"/>
      <c r="L27" s="653"/>
      <c r="M27" s="653"/>
      <c r="N27" s="653"/>
      <c r="O27" s="653"/>
      <c r="P27" s="653"/>
      <c r="Q27" s="148" t="s">
        <v>17</v>
      </c>
      <c r="R27" s="149" t="str">
        <f>IF(E27="■","←必須","")</f>
        <v/>
      </c>
      <c r="S27" s="151"/>
      <c r="T27" s="170" t="str">
        <f>IF(E27="■","030399","")</f>
        <v/>
      </c>
      <c r="U27" s="171"/>
      <c r="V27" s="186"/>
    </row>
    <row r="28" spans="1:22">
      <c r="A28" s="641"/>
      <c r="B28" s="654"/>
      <c r="C28" s="655">
        <v>4</v>
      </c>
      <c r="D28" s="656" t="s">
        <v>223</v>
      </c>
      <c r="E28" s="627" t="s">
        <v>638</v>
      </c>
      <c r="F28" s="657">
        <v>1</v>
      </c>
      <c r="G28" s="670" t="s">
        <v>224</v>
      </c>
      <c r="H28" s="659"/>
      <c r="I28" s="660" t="s">
        <v>638</v>
      </c>
      <c r="J28" s="661">
        <v>2</v>
      </c>
      <c r="K28" s="662" t="s">
        <v>515</v>
      </c>
      <c r="L28" s="663"/>
      <c r="M28" s="677" t="b">
        <v>0</v>
      </c>
      <c r="N28" s="661"/>
      <c r="O28" s="662"/>
      <c r="P28" s="663"/>
      <c r="Q28" s="150"/>
      <c r="R28" s="565"/>
      <c r="S28" s="151"/>
      <c r="T28" s="166" t="str">
        <f>IF(E28="■","030401","")</f>
        <v/>
      </c>
      <c r="U28" s="167" t="str">
        <f>IF(I28="■","030402","")</f>
        <v/>
      </c>
      <c r="V28" s="184"/>
    </row>
    <row r="29" spans="1:22" ht="9" customHeight="1">
      <c r="A29" s="641"/>
      <c r="B29" s="654"/>
      <c r="C29" s="637"/>
      <c r="D29" s="626"/>
      <c r="E29" s="676" t="b">
        <v>0</v>
      </c>
      <c r="F29" s="638"/>
      <c r="G29" s="629"/>
      <c r="H29" s="630"/>
      <c r="I29" s="665" t="b">
        <v>0</v>
      </c>
      <c r="J29" s="632"/>
      <c r="K29" s="633"/>
      <c r="L29" s="634"/>
      <c r="M29" s="645" t="b">
        <v>0</v>
      </c>
      <c r="N29" s="632"/>
      <c r="O29" s="633"/>
      <c r="P29" s="634"/>
      <c r="Q29" s="142"/>
      <c r="R29" s="565"/>
      <c r="S29" s="125"/>
      <c r="T29" s="168"/>
      <c r="U29" s="169"/>
      <c r="V29" s="185"/>
    </row>
    <row r="30" spans="1:22" ht="9" customHeight="1">
      <c r="A30" s="641"/>
      <c r="B30" s="642"/>
      <c r="C30" s="637"/>
      <c r="D30" s="643"/>
      <c r="E30" s="676" t="b">
        <v>0</v>
      </c>
      <c r="F30" s="638"/>
      <c r="G30" s="629"/>
      <c r="H30" s="630"/>
      <c r="I30" s="665" t="b">
        <v>0</v>
      </c>
      <c r="J30" s="632"/>
      <c r="K30" s="633"/>
      <c r="L30" s="634"/>
      <c r="M30" s="645" t="b">
        <v>0</v>
      </c>
      <c r="N30" s="632"/>
      <c r="O30" s="633"/>
      <c r="P30" s="634"/>
      <c r="Q30" s="142"/>
      <c r="R30" s="565"/>
      <c r="S30" s="125"/>
      <c r="T30" s="168"/>
      <c r="U30" s="169"/>
      <c r="V30" s="185"/>
    </row>
    <row r="31" spans="1:22" ht="16.5" customHeight="1">
      <c r="A31" s="641"/>
      <c r="B31" s="642"/>
      <c r="C31" s="646"/>
      <c r="D31" s="647"/>
      <c r="E31" s="648" t="s">
        <v>638</v>
      </c>
      <c r="F31" s="649">
        <v>99</v>
      </c>
      <c r="G31" s="650" t="s">
        <v>225</v>
      </c>
      <c r="H31" s="651"/>
      <c r="I31" s="652" t="s">
        <v>16</v>
      </c>
      <c r="J31" s="653"/>
      <c r="K31" s="653"/>
      <c r="L31" s="653"/>
      <c r="M31" s="653"/>
      <c r="N31" s="653"/>
      <c r="O31" s="653"/>
      <c r="P31" s="653"/>
      <c r="Q31" s="148" t="s">
        <v>17</v>
      </c>
      <c r="R31" s="149" t="str">
        <f>IF(E31="■","←必須","")</f>
        <v/>
      </c>
      <c r="S31" s="151"/>
      <c r="T31" s="170" t="str">
        <f>IF(E31="■","030499","")</f>
        <v/>
      </c>
      <c r="U31" s="171"/>
      <c r="V31" s="186"/>
    </row>
    <row r="32" spans="1:22">
      <c r="A32" s="641"/>
      <c r="B32" s="654"/>
      <c r="C32" s="655">
        <v>5</v>
      </c>
      <c r="D32" s="656" t="s">
        <v>226</v>
      </c>
      <c r="E32" s="627" t="s">
        <v>638</v>
      </c>
      <c r="F32" s="657">
        <v>1</v>
      </c>
      <c r="G32" s="670" t="s">
        <v>227</v>
      </c>
      <c r="H32" s="659"/>
      <c r="I32" s="660" t="s">
        <v>638</v>
      </c>
      <c r="J32" s="661">
        <v>2</v>
      </c>
      <c r="K32" s="662" t="s">
        <v>228</v>
      </c>
      <c r="L32" s="663"/>
      <c r="M32" s="677" t="b">
        <v>0</v>
      </c>
      <c r="N32" s="661"/>
      <c r="O32" s="662"/>
      <c r="P32" s="663"/>
      <c r="Q32" s="150"/>
      <c r="R32" s="565"/>
      <c r="S32" s="151"/>
      <c r="T32" s="166" t="str">
        <f>IF(E32="■","030501","")</f>
        <v/>
      </c>
      <c r="U32" s="167" t="str">
        <f>IF(I32="■","030502","")</f>
        <v/>
      </c>
      <c r="V32" s="184"/>
    </row>
    <row r="33" spans="1:22" ht="9" customHeight="1">
      <c r="A33" s="641"/>
      <c r="B33" s="654"/>
      <c r="C33" s="637"/>
      <c r="D33" s="626"/>
      <c r="E33" s="676" t="b">
        <v>0</v>
      </c>
      <c r="F33" s="638"/>
      <c r="G33" s="629"/>
      <c r="H33" s="630"/>
      <c r="I33" s="665" t="b">
        <v>0</v>
      </c>
      <c r="J33" s="632"/>
      <c r="K33" s="633"/>
      <c r="L33" s="634"/>
      <c r="M33" s="645"/>
      <c r="N33" s="632"/>
      <c r="O33" s="633"/>
      <c r="P33" s="634"/>
      <c r="Q33" s="142"/>
      <c r="R33" s="565"/>
      <c r="S33" s="125"/>
      <c r="T33" s="168"/>
      <c r="U33" s="169"/>
      <c r="V33" s="185"/>
    </row>
    <row r="34" spans="1:22" ht="9" customHeight="1">
      <c r="A34" s="641"/>
      <c r="B34" s="642"/>
      <c r="C34" s="637"/>
      <c r="D34" s="643"/>
      <c r="E34" s="676" t="b">
        <v>0</v>
      </c>
      <c r="F34" s="638"/>
      <c r="G34" s="629"/>
      <c r="H34" s="630"/>
      <c r="I34" s="665" t="b">
        <v>0</v>
      </c>
      <c r="J34" s="632"/>
      <c r="K34" s="633"/>
      <c r="L34" s="634"/>
      <c r="M34" s="645"/>
      <c r="N34" s="632"/>
      <c r="O34" s="633"/>
      <c r="P34" s="634"/>
      <c r="Q34" s="142"/>
      <c r="R34" s="565"/>
      <c r="S34" s="125"/>
      <c r="T34" s="168"/>
      <c r="U34" s="169"/>
      <c r="V34" s="185"/>
    </row>
    <row r="35" spans="1:22" ht="16.5" customHeight="1">
      <c r="A35" s="666"/>
      <c r="B35" s="667"/>
      <c r="C35" s="646"/>
      <c r="D35" s="647"/>
      <c r="E35" s="648" t="s">
        <v>638</v>
      </c>
      <c r="F35" s="649">
        <v>99</v>
      </c>
      <c r="G35" s="650" t="s">
        <v>229</v>
      </c>
      <c r="H35" s="651"/>
      <c r="I35" s="652" t="s">
        <v>16</v>
      </c>
      <c r="J35" s="653"/>
      <c r="K35" s="653"/>
      <c r="L35" s="653"/>
      <c r="M35" s="653"/>
      <c r="N35" s="653"/>
      <c r="O35" s="653"/>
      <c r="P35" s="653"/>
      <c r="Q35" s="148" t="s">
        <v>17</v>
      </c>
      <c r="R35" s="149" t="str">
        <f>IF(E35="■","←必須","")</f>
        <v/>
      </c>
      <c r="S35" s="151"/>
      <c r="T35" s="170" t="str">
        <f>IF(E35="■","030599","")</f>
        <v/>
      </c>
      <c r="U35" s="171"/>
      <c r="V35" s="186"/>
    </row>
    <row r="36" spans="1:22">
      <c r="A36" s="668">
        <v>4</v>
      </c>
      <c r="B36" s="669" t="s">
        <v>182</v>
      </c>
      <c r="C36" s="655">
        <v>1</v>
      </c>
      <c r="D36" s="656" t="s">
        <v>230</v>
      </c>
      <c r="E36" s="627" t="s">
        <v>638</v>
      </c>
      <c r="F36" s="657">
        <v>1</v>
      </c>
      <c r="G36" s="670" t="s">
        <v>231</v>
      </c>
      <c r="H36" s="659"/>
      <c r="I36" s="660" t="s">
        <v>638</v>
      </c>
      <c r="J36" s="661">
        <v>2</v>
      </c>
      <c r="K36" s="662" t="s">
        <v>516</v>
      </c>
      <c r="L36" s="663"/>
      <c r="M36" s="660" t="s">
        <v>638</v>
      </c>
      <c r="N36" s="661">
        <v>3</v>
      </c>
      <c r="O36" s="662" t="s">
        <v>232</v>
      </c>
      <c r="P36" s="663"/>
      <c r="Q36" s="150"/>
      <c r="R36" s="565"/>
      <c r="S36" s="151"/>
      <c r="T36" s="166" t="str">
        <f>IF(E36="■","040101","")</f>
        <v/>
      </c>
      <c r="U36" s="167" t="str">
        <f>IF(I36="■","040102","")</f>
        <v/>
      </c>
      <c r="V36" s="184" t="str">
        <f>IF(M36="■","040103","")</f>
        <v/>
      </c>
    </row>
    <row r="37" spans="1:22">
      <c r="A37" s="641"/>
      <c r="B37" s="654"/>
      <c r="C37" s="637"/>
      <c r="D37" s="626"/>
      <c r="E37" s="627" t="s">
        <v>638</v>
      </c>
      <c r="F37" s="638">
        <v>4</v>
      </c>
      <c r="G37" s="629" t="s">
        <v>233</v>
      </c>
      <c r="H37" s="630"/>
      <c r="I37" s="639" t="s">
        <v>638</v>
      </c>
      <c r="J37" s="632">
        <v>5</v>
      </c>
      <c r="K37" s="633" t="s">
        <v>234</v>
      </c>
      <c r="L37" s="634"/>
      <c r="M37" s="639" t="s">
        <v>638</v>
      </c>
      <c r="N37" s="632">
        <v>6</v>
      </c>
      <c r="O37" s="633" t="s">
        <v>235</v>
      </c>
      <c r="P37" s="634"/>
      <c r="Q37" s="142"/>
      <c r="R37" s="565"/>
      <c r="S37" s="125"/>
      <c r="T37" s="168" t="str">
        <f>IF(E37="■","040104","")</f>
        <v/>
      </c>
      <c r="U37" s="169" t="str">
        <f>IF(I37="■","040105","")</f>
        <v/>
      </c>
      <c r="V37" s="185" t="str">
        <f>IF(M37="■","040106","")</f>
        <v/>
      </c>
    </row>
    <row r="38" spans="1:22">
      <c r="A38" s="641"/>
      <c r="B38" s="642"/>
      <c r="C38" s="637"/>
      <c r="D38" s="643"/>
      <c r="E38" s="627" t="s">
        <v>638</v>
      </c>
      <c r="F38" s="638">
        <v>7</v>
      </c>
      <c r="G38" s="629" t="s">
        <v>236</v>
      </c>
      <c r="H38" s="630"/>
      <c r="I38" s="639" t="s">
        <v>638</v>
      </c>
      <c r="J38" s="632">
        <v>8</v>
      </c>
      <c r="K38" s="633" t="s">
        <v>237</v>
      </c>
      <c r="L38" s="634"/>
      <c r="M38" s="639" t="s">
        <v>638</v>
      </c>
      <c r="N38" s="632">
        <v>9</v>
      </c>
      <c r="O38" s="633" t="s">
        <v>238</v>
      </c>
      <c r="P38" s="634"/>
      <c r="Q38" s="142"/>
      <c r="R38" s="565"/>
      <c r="S38" s="125"/>
      <c r="T38" s="168" t="str">
        <f>IF(E38="■","040107","")</f>
        <v/>
      </c>
      <c r="U38" s="169" t="str">
        <f>IF(I38="■","040108","")</f>
        <v/>
      </c>
      <c r="V38" s="185" t="str">
        <f>IF(M38="■","040109","")</f>
        <v/>
      </c>
    </row>
    <row r="39" spans="1:22">
      <c r="A39" s="641"/>
      <c r="B39" s="642"/>
      <c r="C39" s="646"/>
      <c r="D39" s="647"/>
      <c r="E39" s="648" t="s">
        <v>638</v>
      </c>
      <c r="F39" s="649">
        <v>99</v>
      </c>
      <c r="G39" s="650" t="s">
        <v>239</v>
      </c>
      <c r="H39" s="651"/>
      <c r="I39" s="652" t="s">
        <v>16</v>
      </c>
      <c r="J39" s="653"/>
      <c r="K39" s="653"/>
      <c r="L39" s="653"/>
      <c r="M39" s="653"/>
      <c r="N39" s="653"/>
      <c r="O39" s="653"/>
      <c r="P39" s="653"/>
      <c r="Q39" s="148" t="s">
        <v>17</v>
      </c>
      <c r="R39" s="149" t="str">
        <f>IF(E39="■","←必須","")</f>
        <v/>
      </c>
      <c r="S39" s="151"/>
      <c r="T39" s="170" t="str">
        <f>IF(E39="■","040199","")</f>
        <v/>
      </c>
      <c r="U39" s="171"/>
      <c r="V39" s="186"/>
    </row>
    <row r="40" spans="1:22">
      <c r="A40" s="641"/>
      <c r="B40" s="654"/>
      <c r="C40" s="655">
        <v>2</v>
      </c>
      <c r="D40" s="656" t="s">
        <v>240</v>
      </c>
      <c r="E40" s="627" t="s">
        <v>638</v>
      </c>
      <c r="F40" s="657">
        <v>1</v>
      </c>
      <c r="G40" s="670" t="s">
        <v>241</v>
      </c>
      <c r="H40" s="659"/>
      <c r="I40" s="660" t="s">
        <v>638</v>
      </c>
      <c r="J40" s="661">
        <v>2</v>
      </c>
      <c r="K40" s="662" t="s">
        <v>242</v>
      </c>
      <c r="L40" s="663"/>
      <c r="M40" s="660" t="s">
        <v>638</v>
      </c>
      <c r="N40" s="661">
        <v>3</v>
      </c>
      <c r="O40" s="662" t="s">
        <v>243</v>
      </c>
      <c r="P40" s="663"/>
      <c r="Q40" s="150"/>
      <c r="R40" s="565"/>
      <c r="S40" s="151"/>
      <c r="T40" s="166" t="str">
        <f>IF(E40="■","040201","")</f>
        <v/>
      </c>
      <c r="U40" s="167" t="str">
        <f>IF(I40="■","040202","")</f>
        <v/>
      </c>
      <c r="V40" s="184" t="str">
        <f>IF(M40="■","040203","")</f>
        <v/>
      </c>
    </row>
    <row r="41" spans="1:22">
      <c r="A41" s="641"/>
      <c r="B41" s="654"/>
      <c r="C41" s="637"/>
      <c r="D41" s="626"/>
      <c r="E41" s="627" t="s">
        <v>638</v>
      </c>
      <c r="F41" s="638">
        <v>4</v>
      </c>
      <c r="G41" s="629" t="s">
        <v>244</v>
      </c>
      <c r="H41" s="630"/>
      <c r="I41" s="639" t="s">
        <v>638</v>
      </c>
      <c r="J41" s="632">
        <v>5</v>
      </c>
      <c r="K41" s="633" t="s">
        <v>245</v>
      </c>
      <c r="L41" s="634"/>
      <c r="M41" s="639" t="s">
        <v>638</v>
      </c>
      <c r="N41" s="632">
        <v>6</v>
      </c>
      <c r="O41" s="678" t="s">
        <v>500</v>
      </c>
      <c r="P41" s="679"/>
      <c r="Q41" s="142"/>
      <c r="R41" s="565"/>
      <c r="S41" s="125"/>
      <c r="T41" s="168" t="str">
        <f>IF(E41="■","040204","")</f>
        <v/>
      </c>
      <c r="U41" s="169" t="str">
        <f>IF(I41="■","040205","")</f>
        <v/>
      </c>
      <c r="V41" s="185" t="str">
        <f>IF(M41="■","040206","")</f>
        <v/>
      </c>
    </row>
    <row r="42" spans="1:22">
      <c r="A42" s="641"/>
      <c r="B42" s="642"/>
      <c r="C42" s="637"/>
      <c r="D42" s="643"/>
      <c r="E42" s="627" t="s">
        <v>638</v>
      </c>
      <c r="F42" s="638">
        <v>7</v>
      </c>
      <c r="G42" s="629" t="s">
        <v>246</v>
      </c>
      <c r="H42" s="630"/>
      <c r="I42" s="639" t="s">
        <v>638</v>
      </c>
      <c r="J42" s="632">
        <v>8</v>
      </c>
      <c r="K42" s="633" t="s">
        <v>247</v>
      </c>
      <c r="L42" s="634"/>
      <c r="M42" s="640"/>
      <c r="N42" s="632"/>
      <c r="O42" s="633"/>
      <c r="P42" s="634"/>
      <c r="Q42" s="142"/>
      <c r="R42" s="565"/>
      <c r="S42" s="125"/>
      <c r="T42" s="168" t="str">
        <f>IF(E42="■","040207","")</f>
        <v/>
      </c>
      <c r="U42" s="169" t="str">
        <f>IF(I42="■","040208","")</f>
        <v/>
      </c>
      <c r="V42" s="185"/>
    </row>
    <row r="43" spans="1:22">
      <c r="A43" s="641"/>
      <c r="B43" s="642"/>
      <c r="C43" s="646"/>
      <c r="D43" s="647"/>
      <c r="E43" s="648" t="s">
        <v>638</v>
      </c>
      <c r="F43" s="649">
        <v>99</v>
      </c>
      <c r="G43" s="650" t="s">
        <v>248</v>
      </c>
      <c r="H43" s="651"/>
      <c r="I43" s="652" t="s">
        <v>16</v>
      </c>
      <c r="J43" s="653"/>
      <c r="K43" s="653"/>
      <c r="L43" s="653"/>
      <c r="M43" s="653"/>
      <c r="N43" s="653"/>
      <c r="O43" s="653"/>
      <c r="P43" s="653"/>
      <c r="Q43" s="148" t="s">
        <v>17</v>
      </c>
      <c r="R43" s="149" t="str">
        <f>IF(E43="■","←必須","")</f>
        <v/>
      </c>
      <c r="S43" s="151"/>
      <c r="T43" s="170" t="str">
        <f>IF(E43="■","040299","")</f>
        <v/>
      </c>
      <c r="U43" s="171"/>
      <c r="V43" s="186"/>
    </row>
    <row r="44" spans="1:22">
      <c r="A44" s="641"/>
      <c r="B44" s="654"/>
      <c r="C44" s="655">
        <v>3</v>
      </c>
      <c r="D44" s="656" t="s">
        <v>249</v>
      </c>
      <c r="E44" s="627" t="s">
        <v>638</v>
      </c>
      <c r="F44" s="657">
        <v>1</v>
      </c>
      <c r="G44" s="670" t="s">
        <v>517</v>
      </c>
      <c r="H44" s="659"/>
      <c r="I44" s="660" t="s">
        <v>638</v>
      </c>
      <c r="J44" s="661">
        <v>2</v>
      </c>
      <c r="K44" s="662" t="s">
        <v>40</v>
      </c>
      <c r="L44" s="663"/>
      <c r="M44" s="660" t="s">
        <v>638</v>
      </c>
      <c r="N44" s="661">
        <v>3</v>
      </c>
      <c r="O44" s="662" t="s">
        <v>250</v>
      </c>
      <c r="P44" s="663"/>
      <c r="Q44" s="150"/>
      <c r="R44" s="565"/>
      <c r="S44" s="151"/>
      <c r="T44" s="166" t="str">
        <f>IF(E44="■","040301","")</f>
        <v/>
      </c>
      <c r="U44" s="167" t="str">
        <f>IF(I44="■","040302","")</f>
        <v/>
      </c>
      <c r="V44" s="184" t="str">
        <f>IF(M44="■","040303","")</f>
        <v/>
      </c>
    </row>
    <row r="45" spans="1:22">
      <c r="A45" s="641"/>
      <c r="B45" s="654"/>
      <c r="C45" s="637"/>
      <c r="D45" s="626"/>
      <c r="E45" s="627" t="s">
        <v>638</v>
      </c>
      <c r="F45" s="638">
        <v>4</v>
      </c>
      <c r="G45" s="629" t="s">
        <v>251</v>
      </c>
      <c r="H45" s="630"/>
      <c r="I45" s="639" t="s">
        <v>638</v>
      </c>
      <c r="J45" s="632">
        <v>5</v>
      </c>
      <c r="K45" s="633" t="s">
        <v>252</v>
      </c>
      <c r="L45" s="634"/>
      <c r="M45" s="639" t="s">
        <v>638</v>
      </c>
      <c r="N45" s="632">
        <v>6</v>
      </c>
      <c r="O45" s="633" t="s">
        <v>253</v>
      </c>
      <c r="P45" s="634"/>
      <c r="Q45" s="142"/>
      <c r="R45" s="565"/>
      <c r="S45" s="125"/>
      <c r="T45" s="168" t="str">
        <f>IF(E45="■","040304","")</f>
        <v/>
      </c>
      <c r="U45" s="169" t="str">
        <f>IF(I45="■","040305","")</f>
        <v/>
      </c>
      <c r="V45" s="185" t="str">
        <f>IF(M45="■","040306","")</f>
        <v/>
      </c>
    </row>
    <row r="46" spans="1:22">
      <c r="A46" s="641"/>
      <c r="B46" s="642"/>
      <c r="C46" s="637"/>
      <c r="D46" s="643"/>
      <c r="E46" s="627" t="s">
        <v>638</v>
      </c>
      <c r="F46" s="638">
        <v>7</v>
      </c>
      <c r="G46" s="629" t="s">
        <v>254</v>
      </c>
      <c r="H46" s="630"/>
      <c r="I46" s="639" t="s">
        <v>638</v>
      </c>
      <c r="J46" s="632">
        <v>8</v>
      </c>
      <c r="K46" s="633" t="s">
        <v>255</v>
      </c>
      <c r="L46" s="634"/>
      <c r="M46" s="639" t="s">
        <v>638</v>
      </c>
      <c r="N46" s="632">
        <v>9</v>
      </c>
      <c r="O46" s="633" t="s">
        <v>256</v>
      </c>
      <c r="P46" s="634"/>
      <c r="Q46" s="142"/>
      <c r="R46" s="565"/>
      <c r="S46" s="125"/>
      <c r="T46" s="168" t="str">
        <f>IF(E46="■","040307","")</f>
        <v/>
      </c>
      <c r="U46" s="169" t="str">
        <f>IF(I46="■","040308","")</f>
        <v/>
      </c>
      <c r="V46" s="185" t="str">
        <f>IF(M46="■","040309","")</f>
        <v/>
      </c>
    </row>
    <row r="47" spans="1:22" ht="17.25" customHeight="1">
      <c r="A47" s="641"/>
      <c r="B47" s="642"/>
      <c r="C47" s="646"/>
      <c r="D47" s="647"/>
      <c r="E47" s="648" t="s">
        <v>638</v>
      </c>
      <c r="F47" s="649">
        <v>99</v>
      </c>
      <c r="G47" s="650" t="s">
        <v>257</v>
      </c>
      <c r="H47" s="651"/>
      <c r="I47" s="652" t="s">
        <v>16</v>
      </c>
      <c r="J47" s="653"/>
      <c r="K47" s="653"/>
      <c r="L47" s="653"/>
      <c r="M47" s="653"/>
      <c r="N47" s="653"/>
      <c r="O47" s="653"/>
      <c r="P47" s="653"/>
      <c r="Q47" s="148" t="s">
        <v>17</v>
      </c>
      <c r="R47" s="149" t="str">
        <f>IF(E47="■","←必須","")</f>
        <v/>
      </c>
      <c r="S47" s="151"/>
      <c r="T47" s="170" t="str">
        <f>IF(E47="■","040399","")</f>
        <v/>
      </c>
      <c r="U47" s="171"/>
      <c r="V47" s="186"/>
    </row>
    <row r="48" spans="1:22" ht="15" customHeight="1">
      <c r="A48" s="641"/>
      <c r="B48" s="654"/>
      <c r="C48" s="655">
        <v>4</v>
      </c>
      <c r="D48" s="656" t="s">
        <v>258</v>
      </c>
      <c r="E48" s="627" t="s">
        <v>638</v>
      </c>
      <c r="F48" s="657">
        <v>1</v>
      </c>
      <c r="G48" s="670" t="s">
        <v>259</v>
      </c>
      <c r="H48" s="659"/>
      <c r="I48" s="660" t="s">
        <v>638</v>
      </c>
      <c r="J48" s="661">
        <v>2</v>
      </c>
      <c r="K48" s="662" t="s">
        <v>260</v>
      </c>
      <c r="L48" s="663"/>
      <c r="M48" s="660" t="s">
        <v>638</v>
      </c>
      <c r="N48" s="661">
        <v>3</v>
      </c>
      <c r="O48" s="662" t="s">
        <v>261</v>
      </c>
      <c r="P48" s="663"/>
      <c r="Q48" s="150"/>
      <c r="R48" s="565"/>
      <c r="S48" s="151"/>
      <c r="T48" s="166" t="str">
        <f>IF(E48="■","040401","")</f>
        <v/>
      </c>
      <c r="U48" s="167" t="str">
        <f>IF(I48="■","040402","")</f>
        <v/>
      </c>
      <c r="V48" s="184" t="str">
        <f>IF(M48="■","040403","")</f>
        <v/>
      </c>
    </row>
    <row r="49" spans="1:22">
      <c r="A49" s="641"/>
      <c r="B49" s="654"/>
      <c r="C49" s="637"/>
      <c r="D49" s="626"/>
      <c r="E49" s="627" t="s">
        <v>638</v>
      </c>
      <c r="F49" s="638">
        <v>4</v>
      </c>
      <c r="G49" s="629" t="s">
        <v>262</v>
      </c>
      <c r="H49" s="630"/>
      <c r="I49" s="639" t="s">
        <v>638</v>
      </c>
      <c r="J49" s="632">
        <v>5</v>
      </c>
      <c r="K49" s="633" t="s">
        <v>263</v>
      </c>
      <c r="L49" s="634"/>
      <c r="M49" s="639" t="s">
        <v>638</v>
      </c>
      <c r="N49" s="632">
        <v>6</v>
      </c>
      <c r="O49" s="633" t="s">
        <v>264</v>
      </c>
      <c r="P49" s="634"/>
      <c r="Q49" s="142"/>
      <c r="R49" s="565"/>
      <c r="S49" s="125"/>
      <c r="T49" s="168" t="str">
        <f>IF(E49="■","040404","")</f>
        <v/>
      </c>
      <c r="U49" s="169" t="str">
        <f>IF(I49="■","040405","")</f>
        <v/>
      </c>
      <c r="V49" s="185" t="str">
        <f>IF(M49="■","040406","")</f>
        <v/>
      </c>
    </row>
    <row r="50" spans="1:22">
      <c r="A50" s="641"/>
      <c r="B50" s="642"/>
      <c r="C50" s="637"/>
      <c r="D50" s="643"/>
      <c r="E50" s="627" t="s">
        <v>638</v>
      </c>
      <c r="F50" s="638">
        <v>7</v>
      </c>
      <c r="G50" s="629" t="s">
        <v>265</v>
      </c>
      <c r="H50" s="630"/>
      <c r="I50" s="639" t="s">
        <v>638</v>
      </c>
      <c r="J50" s="632">
        <v>8</v>
      </c>
      <c r="K50" s="633" t="s">
        <v>266</v>
      </c>
      <c r="L50" s="634"/>
      <c r="M50" s="639" t="s">
        <v>638</v>
      </c>
      <c r="N50" s="632">
        <v>9</v>
      </c>
      <c r="O50" s="633" t="s">
        <v>267</v>
      </c>
      <c r="P50" s="634"/>
      <c r="Q50" s="142"/>
      <c r="R50" s="565"/>
      <c r="S50" s="125"/>
      <c r="T50" s="168" t="str">
        <f>IF(E50="■","040407","")</f>
        <v/>
      </c>
      <c r="U50" s="169" t="str">
        <f>IF(I50="■","040408","")</f>
        <v/>
      </c>
      <c r="V50" s="185" t="str">
        <f>IF(M50="■","040409","")</f>
        <v/>
      </c>
    </row>
    <row r="51" spans="1:22">
      <c r="A51" s="641"/>
      <c r="B51" s="642"/>
      <c r="C51" s="646"/>
      <c r="D51" s="647"/>
      <c r="E51" s="648" t="s">
        <v>638</v>
      </c>
      <c r="F51" s="649">
        <v>99</v>
      </c>
      <c r="G51" s="650" t="s">
        <v>268</v>
      </c>
      <c r="H51" s="651"/>
      <c r="I51" s="652" t="s">
        <v>16</v>
      </c>
      <c r="J51" s="653"/>
      <c r="K51" s="653"/>
      <c r="L51" s="653"/>
      <c r="M51" s="653"/>
      <c r="N51" s="653"/>
      <c r="O51" s="653"/>
      <c r="P51" s="653"/>
      <c r="Q51" s="148" t="s">
        <v>17</v>
      </c>
      <c r="R51" s="149" t="str">
        <f>IF(E51="■","←必須","")</f>
        <v/>
      </c>
      <c r="S51" s="151"/>
      <c r="T51" s="170" t="str">
        <f>IF(E51="■","040499","")</f>
        <v/>
      </c>
      <c r="U51" s="171"/>
      <c r="V51" s="186"/>
    </row>
    <row r="52" spans="1:22">
      <c r="A52" s="641"/>
      <c r="B52" s="654"/>
      <c r="C52" s="655">
        <v>5</v>
      </c>
      <c r="D52" s="656" t="s">
        <v>168</v>
      </c>
      <c r="E52" s="627" t="s">
        <v>638</v>
      </c>
      <c r="F52" s="657">
        <v>1</v>
      </c>
      <c r="G52" s="670" t="s">
        <v>269</v>
      </c>
      <c r="H52" s="659"/>
      <c r="I52" s="660" t="s">
        <v>638</v>
      </c>
      <c r="J52" s="661">
        <v>2</v>
      </c>
      <c r="K52" s="662" t="s">
        <v>270</v>
      </c>
      <c r="L52" s="663"/>
      <c r="M52" s="660" t="s">
        <v>638</v>
      </c>
      <c r="N52" s="661">
        <v>3</v>
      </c>
      <c r="O52" s="662" t="s">
        <v>271</v>
      </c>
      <c r="P52" s="663"/>
      <c r="Q52" s="150"/>
      <c r="R52" s="565"/>
      <c r="S52" s="151"/>
      <c r="T52" s="166" t="str">
        <f>IF(E52="■","040501","")</f>
        <v/>
      </c>
      <c r="U52" s="167" t="str">
        <f>IF(I52="■","040502","")</f>
        <v/>
      </c>
      <c r="V52" s="184" t="str">
        <f>IF(M52="■","040503","")</f>
        <v/>
      </c>
    </row>
    <row r="53" spans="1:22">
      <c r="A53" s="641"/>
      <c r="B53" s="654"/>
      <c r="C53" s="637"/>
      <c r="D53" s="626" t="s">
        <v>518</v>
      </c>
      <c r="E53" s="627" t="s">
        <v>638</v>
      </c>
      <c r="F53" s="638">
        <v>4</v>
      </c>
      <c r="G53" s="629" t="s">
        <v>272</v>
      </c>
      <c r="H53" s="630"/>
      <c r="I53" s="639" t="s">
        <v>638</v>
      </c>
      <c r="J53" s="632">
        <v>5</v>
      </c>
      <c r="K53" s="633" t="s">
        <v>273</v>
      </c>
      <c r="L53" s="634"/>
      <c r="M53" s="645" t="b">
        <v>0</v>
      </c>
      <c r="N53" s="632"/>
      <c r="O53" s="633"/>
      <c r="P53" s="634"/>
      <c r="Q53" s="142"/>
      <c r="R53" s="565"/>
      <c r="S53" s="125"/>
      <c r="T53" s="168" t="str">
        <f>IF(E53="■","040504","")</f>
        <v/>
      </c>
      <c r="U53" s="169" t="str">
        <f>IF(I53="■","040505","")</f>
        <v/>
      </c>
      <c r="V53" s="185"/>
    </row>
    <row r="54" spans="1:22">
      <c r="A54" s="641"/>
      <c r="B54" s="642"/>
      <c r="C54" s="637"/>
      <c r="D54" s="643"/>
      <c r="E54" s="676" t="b">
        <v>0</v>
      </c>
      <c r="F54" s="638"/>
      <c r="G54" s="629"/>
      <c r="H54" s="630"/>
      <c r="I54" s="665"/>
      <c r="J54" s="632"/>
      <c r="K54" s="633"/>
      <c r="L54" s="634"/>
      <c r="M54" s="645"/>
      <c r="N54" s="632"/>
      <c r="O54" s="633"/>
      <c r="P54" s="634"/>
      <c r="Q54" s="142"/>
      <c r="R54" s="565"/>
      <c r="S54" s="125"/>
      <c r="T54" s="168"/>
      <c r="U54" s="169"/>
      <c r="V54" s="185"/>
    </row>
    <row r="55" spans="1:22">
      <c r="A55" s="641"/>
      <c r="B55" s="642"/>
      <c r="C55" s="646"/>
      <c r="D55" s="647"/>
      <c r="E55" s="648" t="s">
        <v>638</v>
      </c>
      <c r="F55" s="649">
        <v>99</v>
      </c>
      <c r="G55" s="650" t="s">
        <v>274</v>
      </c>
      <c r="H55" s="651"/>
      <c r="I55" s="652" t="s">
        <v>16</v>
      </c>
      <c r="J55" s="653"/>
      <c r="K55" s="653"/>
      <c r="L55" s="653"/>
      <c r="M55" s="653"/>
      <c r="N55" s="653"/>
      <c r="O55" s="653"/>
      <c r="P55" s="653"/>
      <c r="Q55" s="148" t="s">
        <v>17</v>
      </c>
      <c r="R55" s="149" t="str">
        <f>IF(E55="■","←必須","")</f>
        <v/>
      </c>
      <c r="S55" s="151"/>
      <c r="T55" s="170" t="str">
        <f>IF(E55="■","040599","")</f>
        <v/>
      </c>
      <c r="U55" s="171"/>
      <c r="V55" s="186"/>
    </row>
    <row r="56" spans="1:22">
      <c r="A56" s="641"/>
      <c r="B56" s="654"/>
      <c r="C56" s="655">
        <v>6</v>
      </c>
      <c r="D56" s="656" t="s">
        <v>275</v>
      </c>
      <c r="E56" s="627" t="s">
        <v>638</v>
      </c>
      <c r="F56" s="657">
        <v>1</v>
      </c>
      <c r="G56" s="670" t="s">
        <v>276</v>
      </c>
      <c r="H56" s="659"/>
      <c r="I56" s="660" t="s">
        <v>638</v>
      </c>
      <c r="J56" s="661">
        <v>2</v>
      </c>
      <c r="K56" s="662" t="s">
        <v>277</v>
      </c>
      <c r="L56" s="663"/>
      <c r="M56" s="660" t="s">
        <v>638</v>
      </c>
      <c r="N56" s="661">
        <v>3</v>
      </c>
      <c r="O56" s="662" t="s">
        <v>278</v>
      </c>
      <c r="P56" s="663"/>
      <c r="Q56" s="150"/>
      <c r="R56" s="565"/>
      <c r="S56" s="151"/>
      <c r="T56" s="166" t="str">
        <f>IF(E56="■","040601","")</f>
        <v/>
      </c>
      <c r="U56" s="167" t="str">
        <f>IF(I56="■","040602","")</f>
        <v/>
      </c>
      <c r="V56" s="184" t="str">
        <f>IF(M56="■","040603","")</f>
        <v/>
      </c>
    </row>
    <row r="57" spans="1:22">
      <c r="A57" s="641"/>
      <c r="B57" s="654"/>
      <c r="C57" s="637"/>
      <c r="D57" s="626"/>
      <c r="E57" s="627" t="s">
        <v>638</v>
      </c>
      <c r="F57" s="638">
        <v>4</v>
      </c>
      <c r="G57" s="629" t="s">
        <v>279</v>
      </c>
      <c r="H57" s="630"/>
      <c r="I57" s="639" t="s">
        <v>638</v>
      </c>
      <c r="J57" s="632">
        <v>5</v>
      </c>
      <c r="K57" s="633" t="s">
        <v>280</v>
      </c>
      <c r="L57" s="634"/>
      <c r="M57" s="639" t="s">
        <v>638</v>
      </c>
      <c r="N57" s="632">
        <v>6</v>
      </c>
      <c r="O57" s="633" t="s">
        <v>281</v>
      </c>
      <c r="P57" s="634"/>
      <c r="Q57" s="142"/>
      <c r="R57" s="565"/>
      <c r="S57" s="125"/>
      <c r="T57" s="168" t="str">
        <f>IF(E57="■","040604","")</f>
        <v/>
      </c>
      <c r="U57" s="169" t="str">
        <f>IF(I57="■","040605","")</f>
        <v/>
      </c>
      <c r="V57" s="185" t="str">
        <f>IF(M57="■","040606","")</f>
        <v/>
      </c>
    </row>
    <row r="58" spans="1:22">
      <c r="A58" s="641"/>
      <c r="B58" s="642"/>
      <c r="C58" s="637"/>
      <c r="D58" s="643"/>
      <c r="E58" s="676" t="b">
        <v>0</v>
      </c>
      <c r="F58" s="638"/>
      <c r="G58" s="629"/>
      <c r="H58" s="630"/>
      <c r="I58" s="665"/>
      <c r="J58" s="632"/>
      <c r="K58" s="633"/>
      <c r="L58" s="634"/>
      <c r="M58" s="645"/>
      <c r="N58" s="632"/>
      <c r="O58" s="633"/>
      <c r="P58" s="634"/>
      <c r="Q58" s="142"/>
      <c r="R58" s="565"/>
      <c r="S58" s="125"/>
      <c r="T58" s="168"/>
      <c r="U58" s="169"/>
      <c r="V58" s="185"/>
    </row>
    <row r="59" spans="1:22">
      <c r="A59" s="641"/>
      <c r="B59" s="642"/>
      <c r="C59" s="646"/>
      <c r="D59" s="647"/>
      <c r="E59" s="648" t="s">
        <v>638</v>
      </c>
      <c r="F59" s="649">
        <v>99</v>
      </c>
      <c r="G59" s="650" t="s">
        <v>282</v>
      </c>
      <c r="H59" s="651"/>
      <c r="I59" s="652" t="s">
        <v>16</v>
      </c>
      <c r="J59" s="653"/>
      <c r="K59" s="653"/>
      <c r="L59" s="653"/>
      <c r="M59" s="653"/>
      <c r="N59" s="653"/>
      <c r="O59" s="653"/>
      <c r="P59" s="653"/>
      <c r="Q59" s="148" t="s">
        <v>17</v>
      </c>
      <c r="R59" s="149" t="str">
        <f>IF(E59="■","←必須","")</f>
        <v/>
      </c>
      <c r="S59" s="151"/>
      <c r="T59" s="170" t="str">
        <f>IF(E59="■","040699","")</f>
        <v/>
      </c>
      <c r="U59" s="171"/>
      <c r="V59" s="186"/>
    </row>
    <row r="60" spans="1:22" ht="13.5" customHeight="1">
      <c r="A60" s="641"/>
      <c r="B60" s="654"/>
      <c r="C60" s="655">
        <v>7</v>
      </c>
      <c r="D60" s="656" t="s">
        <v>283</v>
      </c>
      <c r="E60" s="627" t="s">
        <v>638</v>
      </c>
      <c r="F60" s="657">
        <v>1</v>
      </c>
      <c r="G60" s="670" t="s">
        <v>42</v>
      </c>
      <c r="H60" s="659"/>
      <c r="I60" s="660" t="s">
        <v>638</v>
      </c>
      <c r="J60" s="661">
        <v>2</v>
      </c>
      <c r="K60" s="662" t="s">
        <v>41</v>
      </c>
      <c r="L60" s="663"/>
      <c r="M60" s="660" t="s">
        <v>638</v>
      </c>
      <c r="N60" s="661">
        <v>3</v>
      </c>
      <c r="O60" s="662" t="s">
        <v>18</v>
      </c>
      <c r="P60" s="663"/>
      <c r="Q60" s="150"/>
      <c r="R60" s="565"/>
      <c r="S60" s="151"/>
      <c r="T60" s="166" t="str">
        <f>IF(E60="■","040701","")</f>
        <v/>
      </c>
      <c r="U60" s="167" t="str">
        <f>IF(I60="■","040702","")</f>
        <v/>
      </c>
      <c r="V60" s="184" t="str">
        <f>IF(M60="■","040703","")</f>
        <v/>
      </c>
    </row>
    <row r="61" spans="1:22">
      <c r="A61" s="641"/>
      <c r="B61" s="654"/>
      <c r="C61" s="637"/>
      <c r="D61" s="626"/>
      <c r="E61" s="627" t="s">
        <v>638</v>
      </c>
      <c r="F61" s="638">
        <v>4</v>
      </c>
      <c r="G61" s="629" t="s">
        <v>519</v>
      </c>
      <c r="H61" s="630"/>
      <c r="I61" s="639" t="s">
        <v>638</v>
      </c>
      <c r="J61" s="632">
        <v>5</v>
      </c>
      <c r="K61" s="633" t="s">
        <v>520</v>
      </c>
      <c r="L61" s="634"/>
      <c r="M61" s="639" t="s">
        <v>638</v>
      </c>
      <c r="N61" s="632">
        <v>6</v>
      </c>
      <c r="O61" s="633" t="s">
        <v>284</v>
      </c>
      <c r="P61" s="634"/>
      <c r="Q61" s="142"/>
      <c r="R61" s="565"/>
      <c r="S61" s="125"/>
      <c r="T61" s="168" t="str">
        <f>IF(E61="■","040704","")</f>
        <v/>
      </c>
      <c r="U61" s="169" t="str">
        <f>IF(I61="■","040705","")</f>
        <v/>
      </c>
      <c r="V61" s="185" t="str">
        <f>IF(M61="■","040706","")</f>
        <v/>
      </c>
    </row>
    <row r="62" spans="1:22">
      <c r="A62" s="641"/>
      <c r="B62" s="642"/>
      <c r="C62" s="637"/>
      <c r="D62" s="643"/>
      <c r="E62" s="627" t="s">
        <v>638</v>
      </c>
      <c r="F62" s="638">
        <v>7</v>
      </c>
      <c r="G62" s="629" t="s">
        <v>285</v>
      </c>
      <c r="H62" s="630"/>
      <c r="I62" s="639" t="s">
        <v>638</v>
      </c>
      <c r="J62" s="632">
        <v>8</v>
      </c>
      <c r="K62" s="633" t="s">
        <v>286</v>
      </c>
      <c r="L62" s="634"/>
      <c r="M62" s="639" t="s">
        <v>638</v>
      </c>
      <c r="N62" s="632">
        <v>9</v>
      </c>
      <c r="O62" s="633" t="s">
        <v>287</v>
      </c>
      <c r="P62" s="634"/>
      <c r="Q62" s="142"/>
      <c r="R62" s="565"/>
      <c r="S62" s="125"/>
      <c r="T62" s="168" t="str">
        <f>IF(E62="■","040707","")</f>
        <v/>
      </c>
      <c r="U62" s="169" t="str">
        <f>IF(I62="■","040708","")</f>
        <v/>
      </c>
      <c r="V62" s="185" t="str">
        <f>IF(M62="■","040709","")</f>
        <v/>
      </c>
    </row>
    <row r="63" spans="1:22">
      <c r="A63" s="641"/>
      <c r="B63" s="642"/>
      <c r="C63" s="646"/>
      <c r="D63" s="647"/>
      <c r="E63" s="648" t="s">
        <v>638</v>
      </c>
      <c r="F63" s="649">
        <v>99</v>
      </c>
      <c r="G63" s="650" t="s">
        <v>288</v>
      </c>
      <c r="H63" s="651"/>
      <c r="I63" s="652" t="s">
        <v>16</v>
      </c>
      <c r="J63" s="653"/>
      <c r="K63" s="653"/>
      <c r="L63" s="653"/>
      <c r="M63" s="653"/>
      <c r="N63" s="653"/>
      <c r="O63" s="653"/>
      <c r="P63" s="653"/>
      <c r="Q63" s="148" t="s">
        <v>17</v>
      </c>
      <c r="R63" s="149" t="str">
        <f>IF(E63="■","←必須","")</f>
        <v/>
      </c>
      <c r="S63" s="151"/>
      <c r="T63" s="170" t="str">
        <f>IF(E63="■","040799","")</f>
        <v/>
      </c>
      <c r="U63" s="171"/>
      <c r="V63" s="186"/>
    </row>
    <row r="64" spans="1:22">
      <c r="A64" s="641"/>
      <c r="B64" s="654"/>
      <c r="C64" s="655">
        <v>8</v>
      </c>
      <c r="D64" s="656" t="s">
        <v>289</v>
      </c>
      <c r="E64" s="627" t="s">
        <v>638</v>
      </c>
      <c r="F64" s="657">
        <v>1</v>
      </c>
      <c r="G64" s="670" t="s">
        <v>521</v>
      </c>
      <c r="H64" s="659"/>
      <c r="I64" s="660" t="s">
        <v>638</v>
      </c>
      <c r="J64" s="661">
        <v>2</v>
      </c>
      <c r="K64" s="662" t="s">
        <v>522</v>
      </c>
      <c r="L64" s="663"/>
      <c r="M64" s="660" t="s">
        <v>638</v>
      </c>
      <c r="N64" s="661">
        <v>3</v>
      </c>
      <c r="O64" s="662" t="s">
        <v>20</v>
      </c>
      <c r="P64" s="663"/>
      <c r="Q64" s="150"/>
      <c r="R64" s="565"/>
      <c r="S64" s="151"/>
      <c r="T64" s="166" t="str">
        <f>IF(E64="■","040801","")</f>
        <v/>
      </c>
      <c r="U64" s="167" t="str">
        <f>IF(I64="■","040802","")</f>
        <v/>
      </c>
      <c r="V64" s="184" t="str">
        <f>IF(M64="■","040803","")</f>
        <v/>
      </c>
    </row>
    <row r="65" spans="1:22">
      <c r="A65" s="641"/>
      <c r="B65" s="654"/>
      <c r="C65" s="637"/>
      <c r="D65" s="626"/>
      <c r="E65" s="627" t="s">
        <v>638</v>
      </c>
      <c r="F65" s="638">
        <v>4</v>
      </c>
      <c r="G65" s="629" t="s">
        <v>290</v>
      </c>
      <c r="H65" s="630"/>
      <c r="I65" s="639" t="s">
        <v>638</v>
      </c>
      <c r="J65" s="632">
        <v>5</v>
      </c>
      <c r="K65" s="633" t="s">
        <v>21</v>
      </c>
      <c r="L65" s="634"/>
      <c r="M65" s="639" t="s">
        <v>638</v>
      </c>
      <c r="N65" s="632">
        <v>6</v>
      </c>
      <c r="O65" s="633" t="s">
        <v>24</v>
      </c>
      <c r="P65" s="634"/>
      <c r="Q65" s="142"/>
      <c r="R65" s="565"/>
      <c r="S65" s="125"/>
      <c r="T65" s="168" t="str">
        <f>IF(E65="■","040804","")</f>
        <v/>
      </c>
      <c r="U65" s="169" t="str">
        <f>IF(I65="■","040805","")</f>
        <v/>
      </c>
      <c r="V65" s="185" t="str">
        <f>IF(M65="■","040806","")</f>
        <v/>
      </c>
    </row>
    <row r="66" spans="1:22">
      <c r="A66" s="641"/>
      <c r="B66" s="642"/>
      <c r="C66" s="637"/>
      <c r="D66" s="643"/>
      <c r="E66" s="627" t="s">
        <v>638</v>
      </c>
      <c r="F66" s="638">
        <v>7</v>
      </c>
      <c r="G66" s="629" t="s">
        <v>291</v>
      </c>
      <c r="H66" s="630"/>
      <c r="I66" s="639" t="s">
        <v>638</v>
      </c>
      <c r="J66" s="632">
        <v>8</v>
      </c>
      <c r="K66" s="671" t="s">
        <v>488</v>
      </c>
      <c r="L66" s="634"/>
      <c r="M66" s="645" t="b">
        <v>0</v>
      </c>
      <c r="N66" s="632"/>
      <c r="O66" s="633"/>
      <c r="P66" s="634"/>
      <c r="Q66" s="142"/>
      <c r="R66" s="565"/>
      <c r="T66" s="168" t="str">
        <f>IF(E66="■","040807","")</f>
        <v/>
      </c>
      <c r="U66" s="169" t="str">
        <f>IF(I66="■","040808","")</f>
        <v/>
      </c>
      <c r="V66" s="185"/>
    </row>
    <row r="67" spans="1:22" ht="14.25" thickBot="1">
      <c r="A67" s="680"/>
      <c r="B67" s="681"/>
      <c r="C67" s="682"/>
      <c r="D67" s="683"/>
      <c r="E67" s="684" t="s">
        <v>638</v>
      </c>
      <c r="F67" s="685">
        <v>99</v>
      </c>
      <c r="G67" s="686" t="s">
        <v>292</v>
      </c>
      <c r="H67" s="687"/>
      <c r="I67" s="688" t="s">
        <v>16</v>
      </c>
      <c r="J67" s="689"/>
      <c r="K67" s="689"/>
      <c r="L67" s="689"/>
      <c r="M67" s="689"/>
      <c r="N67" s="689"/>
      <c r="O67" s="689"/>
      <c r="P67" s="689"/>
      <c r="Q67" s="153" t="s">
        <v>17</v>
      </c>
      <c r="R67" s="149" t="str">
        <f>IF(E67="■","←必須","")</f>
        <v/>
      </c>
      <c r="S67" s="151"/>
      <c r="T67" s="168" t="str">
        <f>IF(E67="■","040899","")</f>
        <v/>
      </c>
      <c r="U67" s="169"/>
      <c r="V67" s="185"/>
    </row>
    <row r="68" spans="1:22" ht="18.95" customHeight="1">
      <c r="A68" s="641">
        <v>4</v>
      </c>
      <c r="B68" s="654" t="s">
        <v>472</v>
      </c>
      <c r="C68" s="637">
        <v>9</v>
      </c>
      <c r="D68" s="626" t="s">
        <v>293</v>
      </c>
      <c r="E68" s="627" t="s">
        <v>638</v>
      </c>
      <c r="F68" s="638">
        <v>1</v>
      </c>
      <c r="G68" s="629" t="s">
        <v>294</v>
      </c>
      <c r="H68" s="630"/>
      <c r="I68" s="635" t="s">
        <v>638</v>
      </c>
      <c r="J68" s="632">
        <v>2</v>
      </c>
      <c r="K68" s="633" t="s">
        <v>295</v>
      </c>
      <c r="L68" s="634"/>
      <c r="M68" s="635" t="s">
        <v>638</v>
      </c>
      <c r="N68" s="632">
        <v>3</v>
      </c>
      <c r="O68" s="633" t="s">
        <v>296</v>
      </c>
      <c r="P68" s="634"/>
      <c r="Q68" s="142"/>
      <c r="R68" s="565"/>
      <c r="S68" s="151"/>
      <c r="T68" s="166" t="str">
        <f>IF(E68="■","040901","")</f>
        <v/>
      </c>
      <c r="U68" s="167" t="str">
        <f>IF(I68="■","040902","")</f>
        <v/>
      </c>
      <c r="V68" s="184" t="str">
        <f>IF(M68="■","040903","")</f>
        <v/>
      </c>
    </row>
    <row r="69" spans="1:22">
      <c r="A69" s="641"/>
      <c r="B69" s="654"/>
      <c r="C69" s="637"/>
      <c r="D69" s="626"/>
      <c r="E69" s="627" t="s">
        <v>638</v>
      </c>
      <c r="F69" s="638">
        <v>4</v>
      </c>
      <c r="G69" s="629" t="s">
        <v>478</v>
      </c>
      <c r="H69" s="630"/>
      <c r="I69" s="639" t="s">
        <v>638</v>
      </c>
      <c r="J69" s="632">
        <v>5</v>
      </c>
      <c r="K69" s="633" t="s">
        <v>297</v>
      </c>
      <c r="L69" s="634"/>
      <c r="M69" s="639" t="s">
        <v>638</v>
      </c>
      <c r="N69" s="632">
        <v>6</v>
      </c>
      <c r="O69" s="633" t="s">
        <v>298</v>
      </c>
      <c r="P69" s="634"/>
      <c r="Q69" s="142"/>
      <c r="R69" s="565"/>
      <c r="T69" s="168" t="str">
        <f>IF(E69="■","040904","")</f>
        <v/>
      </c>
      <c r="U69" s="169" t="str">
        <f>IF(I69="■","040905","")</f>
        <v/>
      </c>
      <c r="V69" s="185" t="str">
        <f>IF(M69="■","040906","")</f>
        <v/>
      </c>
    </row>
    <row r="70" spans="1:22">
      <c r="A70" s="641"/>
      <c r="B70" s="642"/>
      <c r="C70" s="637"/>
      <c r="D70" s="643"/>
      <c r="E70" s="627" t="s">
        <v>638</v>
      </c>
      <c r="F70" s="638">
        <v>7</v>
      </c>
      <c r="G70" s="629" t="s">
        <v>299</v>
      </c>
      <c r="H70" s="630"/>
      <c r="I70" s="639" t="s">
        <v>638</v>
      </c>
      <c r="J70" s="632">
        <v>8</v>
      </c>
      <c r="K70" s="633" t="s">
        <v>300</v>
      </c>
      <c r="L70" s="634"/>
      <c r="M70" s="639" t="s">
        <v>638</v>
      </c>
      <c r="N70" s="632">
        <v>9</v>
      </c>
      <c r="O70" s="633" t="s">
        <v>523</v>
      </c>
      <c r="P70" s="634"/>
      <c r="Q70" s="142"/>
      <c r="R70" s="565"/>
      <c r="T70" s="168" t="str">
        <f>IF(E70="■","040907","")</f>
        <v/>
      </c>
      <c r="U70" s="169" t="str">
        <f>IF(I70="■","040908","")</f>
        <v/>
      </c>
      <c r="V70" s="185" t="str">
        <f>IF(M70="■","040909","")</f>
        <v/>
      </c>
    </row>
    <row r="71" spans="1:22">
      <c r="A71" s="641"/>
      <c r="B71" s="642"/>
      <c r="C71" s="646"/>
      <c r="D71" s="647"/>
      <c r="E71" s="648" t="s">
        <v>638</v>
      </c>
      <c r="F71" s="649">
        <v>99</v>
      </c>
      <c r="G71" s="650" t="s">
        <v>301</v>
      </c>
      <c r="H71" s="651"/>
      <c r="I71" s="652" t="s">
        <v>16</v>
      </c>
      <c r="J71" s="653"/>
      <c r="K71" s="653"/>
      <c r="L71" s="653"/>
      <c r="M71" s="653"/>
      <c r="N71" s="653"/>
      <c r="O71" s="653"/>
      <c r="P71" s="653"/>
      <c r="Q71" s="148" t="s">
        <v>17</v>
      </c>
      <c r="R71" s="149" t="str">
        <f>IF(E71="■","←必須","")</f>
        <v/>
      </c>
      <c r="S71" s="151"/>
      <c r="T71" s="170" t="str">
        <f>IF(E71="■","040999","")</f>
        <v/>
      </c>
      <c r="U71" s="171"/>
      <c r="V71" s="186"/>
    </row>
    <row r="72" spans="1:22">
      <c r="A72" s="641"/>
      <c r="B72" s="654"/>
      <c r="C72" s="655">
        <v>10</v>
      </c>
      <c r="D72" s="656" t="s">
        <v>302</v>
      </c>
      <c r="E72" s="627" t="s">
        <v>638</v>
      </c>
      <c r="F72" s="657">
        <v>1</v>
      </c>
      <c r="G72" s="670" t="s">
        <v>303</v>
      </c>
      <c r="H72" s="659"/>
      <c r="I72" s="660" t="s">
        <v>638</v>
      </c>
      <c r="J72" s="661">
        <v>2</v>
      </c>
      <c r="K72" s="690" t="s">
        <v>491</v>
      </c>
      <c r="L72" s="663"/>
      <c r="M72" s="660" t="s">
        <v>638</v>
      </c>
      <c r="N72" s="661">
        <v>3</v>
      </c>
      <c r="O72" s="690" t="s">
        <v>490</v>
      </c>
      <c r="P72" s="663"/>
      <c r="Q72" s="150"/>
      <c r="R72" s="565"/>
      <c r="S72" s="151"/>
      <c r="T72" s="166" t="str">
        <f>IF(E72="■","041001","")</f>
        <v/>
      </c>
      <c r="U72" s="167" t="str">
        <f>IF(I72="■","041002","")</f>
        <v/>
      </c>
      <c r="V72" s="184" t="str">
        <f>IF(M72="■","041003","")</f>
        <v/>
      </c>
    </row>
    <row r="73" spans="1:22">
      <c r="A73" s="641"/>
      <c r="B73" s="654"/>
      <c r="C73" s="637"/>
      <c r="D73" s="626"/>
      <c r="E73" s="627" t="s">
        <v>638</v>
      </c>
      <c r="F73" s="638">
        <v>4</v>
      </c>
      <c r="G73" s="664" t="s">
        <v>489</v>
      </c>
      <c r="H73" s="630"/>
      <c r="I73" s="639" t="s">
        <v>638</v>
      </c>
      <c r="J73" s="632">
        <v>5</v>
      </c>
      <c r="K73" s="671" t="s">
        <v>524</v>
      </c>
      <c r="L73" s="634"/>
      <c r="M73" s="639" t="s">
        <v>638</v>
      </c>
      <c r="N73" s="632">
        <v>6</v>
      </c>
      <c r="O73" s="671" t="s">
        <v>525</v>
      </c>
      <c r="P73" s="634"/>
      <c r="Q73" s="142"/>
      <c r="R73" s="565"/>
      <c r="T73" s="168" t="str">
        <f>IF(E73="■","041004","")</f>
        <v/>
      </c>
      <c r="U73" s="169" t="str">
        <f>IF(I73="■","041005","")</f>
        <v/>
      </c>
      <c r="V73" s="185" t="str">
        <f>IF(M73="■","041006","")</f>
        <v/>
      </c>
    </row>
    <row r="74" spans="1:22">
      <c r="A74" s="641"/>
      <c r="B74" s="642"/>
      <c r="C74" s="637"/>
      <c r="D74" s="643"/>
      <c r="E74" s="676" t="b">
        <v>0</v>
      </c>
      <c r="F74" s="638"/>
      <c r="G74" s="629"/>
      <c r="H74" s="630"/>
      <c r="I74" s="665" t="b">
        <v>0</v>
      </c>
      <c r="J74" s="632"/>
      <c r="K74" s="633"/>
      <c r="L74" s="634"/>
      <c r="M74" s="645" t="b">
        <v>0</v>
      </c>
      <c r="N74" s="632"/>
      <c r="O74" s="633"/>
      <c r="P74" s="634"/>
      <c r="Q74" s="142"/>
      <c r="R74" s="565"/>
      <c r="T74" s="168"/>
      <c r="U74" s="169"/>
      <c r="V74" s="185"/>
    </row>
    <row r="75" spans="1:22">
      <c r="A75" s="641"/>
      <c r="B75" s="642"/>
      <c r="C75" s="646"/>
      <c r="D75" s="647"/>
      <c r="E75" s="648" t="s">
        <v>638</v>
      </c>
      <c r="F75" s="649">
        <v>99</v>
      </c>
      <c r="G75" s="650" t="s">
        <v>304</v>
      </c>
      <c r="H75" s="651"/>
      <c r="I75" s="652" t="s">
        <v>16</v>
      </c>
      <c r="J75" s="653"/>
      <c r="K75" s="653"/>
      <c r="L75" s="653"/>
      <c r="M75" s="653"/>
      <c r="N75" s="653"/>
      <c r="O75" s="653"/>
      <c r="P75" s="653"/>
      <c r="Q75" s="148" t="s">
        <v>17</v>
      </c>
      <c r="R75" s="149" t="str">
        <f>IF(E75="■","←必須","")</f>
        <v/>
      </c>
      <c r="S75" s="151"/>
      <c r="T75" s="170" t="str">
        <f>IF(E75="■","041099","")</f>
        <v/>
      </c>
      <c r="U75" s="171"/>
      <c r="V75" s="186"/>
    </row>
    <row r="76" spans="1:22">
      <c r="A76" s="641"/>
      <c r="B76" s="654"/>
      <c r="C76" s="655">
        <v>11</v>
      </c>
      <c r="D76" s="656" t="s">
        <v>305</v>
      </c>
      <c r="E76" s="627" t="s">
        <v>638</v>
      </c>
      <c r="F76" s="657">
        <v>1</v>
      </c>
      <c r="G76" s="670" t="s">
        <v>306</v>
      </c>
      <c r="H76" s="659"/>
      <c r="I76" s="660" t="s">
        <v>638</v>
      </c>
      <c r="J76" s="661">
        <v>2</v>
      </c>
      <c r="K76" s="662" t="s">
        <v>307</v>
      </c>
      <c r="L76" s="663"/>
      <c r="M76" s="660" t="s">
        <v>638</v>
      </c>
      <c r="N76" s="661">
        <v>3</v>
      </c>
      <c r="O76" s="662" t="s">
        <v>526</v>
      </c>
      <c r="P76" s="663"/>
      <c r="Q76" s="150"/>
      <c r="R76" s="565"/>
      <c r="S76" s="151"/>
      <c r="T76" s="166" t="str">
        <f>IF(E76="■","041101","")</f>
        <v/>
      </c>
      <c r="U76" s="167" t="str">
        <f>IF(I76="■","041102","")</f>
        <v/>
      </c>
      <c r="V76" s="184" t="str">
        <f>IF(M76="■","041103","")</f>
        <v/>
      </c>
    </row>
    <row r="77" spans="1:22">
      <c r="A77" s="641"/>
      <c r="B77" s="654"/>
      <c r="C77" s="637"/>
      <c r="D77" s="626" t="s">
        <v>308</v>
      </c>
      <c r="E77" s="627" t="s">
        <v>638</v>
      </c>
      <c r="F77" s="638">
        <v>4</v>
      </c>
      <c r="G77" s="629" t="s">
        <v>309</v>
      </c>
      <c r="H77" s="630"/>
      <c r="I77" s="639" t="s">
        <v>638</v>
      </c>
      <c r="J77" s="632">
        <v>5</v>
      </c>
      <c r="K77" s="633" t="s">
        <v>527</v>
      </c>
      <c r="L77" s="634"/>
      <c r="M77" s="639" t="s">
        <v>638</v>
      </c>
      <c r="N77" s="632">
        <v>6</v>
      </c>
      <c r="O77" s="633" t="s">
        <v>310</v>
      </c>
      <c r="P77" s="634"/>
      <c r="Q77" s="142"/>
      <c r="R77" s="565"/>
      <c r="T77" s="168" t="str">
        <f>IF(E77="■","041104","")</f>
        <v/>
      </c>
      <c r="U77" s="169" t="str">
        <f>IF(I77="■","041105","")</f>
        <v/>
      </c>
      <c r="V77" s="185" t="str">
        <f>IF(M77="■","041106","")</f>
        <v/>
      </c>
    </row>
    <row r="78" spans="1:22">
      <c r="A78" s="641"/>
      <c r="B78" s="642"/>
      <c r="C78" s="637"/>
      <c r="D78" s="626"/>
      <c r="E78" s="627" t="s">
        <v>638</v>
      </c>
      <c r="F78" s="638">
        <v>7</v>
      </c>
      <c r="G78" s="629" t="s">
        <v>311</v>
      </c>
      <c r="H78" s="630"/>
      <c r="I78" s="639" t="s">
        <v>638</v>
      </c>
      <c r="J78" s="632">
        <v>8</v>
      </c>
      <c r="K78" s="633" t="s">
        <v>25</v>
      </c>
      <c r="L78" s="634"/>
      <c r="M78" s="639" t="s">
        <v>638</v>
      </c>
      <c r="N78" s="632">
        <v>9</v>
      </c>
      <c r="O78" s="671" t="s">
        <v>492</v>
      </c>
      <c r="P78" s="634"/>
      <c r="Q78" s="142"/>
      <c r="R78" s="565"/>
      <c r="T78" s="168" t="str">
        <f>IF(E78="■","041107","")</f>
        <v/>
      </c>
      <c r="U78" s="169" t="str">
        <f>IF(I78="■","041108","")</f>
        <v/>
      </c>
      <c r="V78" s="185" t="str">
        <f>IF(M78="■","041109","")</f>
        <v/>
      </c>
    </row>
    <row r="79" spans="1:22">
      <c r="A79" s="666"/>
      <c r="B79" s="667"/>
      <c r="C79" s="646"/>
      <c r="D79" s="647"/>
      <c r="E79" s="648" t="s">
        <v>638</v>
      </c>
      <c r="F79" s="649">
        <v>99</v>
      </c>
      <c r="G79" s="650" t="s">
        <v>305</v>
      </c>
      <c r="H79" s="651"/>
      <c r="I79" s="652" t="s">
        <v>16</v>
      </c>
      <c r="J79" s="653"/>
      <c r="K79" s="653"/>
      <c r="L79" s="653"/>
      <c r="M79" s="653"/>
      <c r="N79" s="653"/>
      <c r="O79" s="653"/>
      <c r="P79" s="653"/>
      <c r="Q79" s="148" t="s">
        <v>17</v>
      </c>
      <c r="R79" s="149" t="str">
        <f>IF(E79="■","←必須","")</f>
        <v/>
      </c>
      <c r="S79" s="151"/>
      <c r="T79" s="170" t="str">
        <f>IF(E79="■","041199","")</f>
        <v/>
      </c>
      <c r="U79" s="171"/>
      <c r="V79" s="186"/>
    </row>
    <row r="80" spans="1:22" ht="13.5" customHeight="1">
      <c r="A80" s="668">
        <v>5</v>
      </c>
      <c r="B80" s="691" t="s">
        <v>312</v>
      </c>
      <c r="C80" s="655">
        <v>1</v>
      </c>
      <c r="D80" s="656" t="s">
        <v>313</v>
      </c>
      <c r="E80" s="627" t="s">
        <v>638</v>
      </c>
      <c r="F80" s="657">
        <v>1</v>
      </c>
      <c r="G80" s="670" t="s">
        <v>314</v>
      </c>
      <c r="H80" s="659"/>
      <c r="I80" s="660" t="s">
        <v>638</v>
      </c>
      <c r="J80" s="661">
        <v>2</v>
      </c>
      <c r="K80" s="662" t="s">
        <v>315</v>
      </c>
      <c r="L80" s="663"/>
      <c r="M80" s="660" t="s">
        <v>638</v>
      </c>
      <c r="N80" s="661">
        <v>3</v>
      </c>
      <c r="O80" s="662" t="s">
        <v>316</v>
      </c>
      <c r="P80" s="663"/>
      <c r="Q80" s="150"/>
      <c r="R80" s="565"/>
      <c r="S80" s="151"/>
      <c r="T80" s="166" t="str">
        <f>IF(E80="■","050101","")</f>
        <v/>
      </c>
      <c r="U80" s="167" t="str">
        <f>IF(I80="■","050102","")</f>
        <v/>
      </c>
      <c r="V80" s="184" t="str">
        <f>IF(M80="■","050103","")</f>
        <v/>
      </c>
    </row>
    <row r="81" spans="1:22">
      <c r="A81" s="641"/>
      <c r="B81" s="692"/>
      <c r="C81" s="637"/>
      <c r="D81" s="626"/>
      <c r="E81" s="627" t="s">
        <v>638</v>
      </c>
      <c r="F81" s="638">
        <v>4</v>
      </c>
      <c r="G81" s="629" t="s">
        <v>317</v>
      </c>
      <c r="H81" s="630"/>
      <c r="I81" s="639" t="s">
        <v>638</v>
      </c>
      <c r="J81" s="632">
        <v>5</v>
      </c>
      <c r="K81" s="633" t="s">
        <v>318</v>
      </c>
      <c r="L81" s="634"/>
      <c r="M81" s="639" t="s">
        <v>638</v>
      </c>
      <c r="N81" s="632">
        <v>6</v>
      </c>
      <c r="O81" s="633" t="s">
        <v>319</v>
      </c>
      <c r="P81" s="634"/>
      <c r="Q81" s="142"/>
      <c r="R81" s="565"/>
      <c r="T81" s="168" t="str">
        <f>IF(E81="■","050104","")</f>
        <v/>
      </c>
      <c r="U81" s="169" t="str">
        <f>IF(I81="■","050105","")</f>
        <v/>
      </c>
      <c r="V81" s="185" t="str">
        <f>IF(M81="■","050106","")</f>
        <v/>
      </c>
    </row>
    <row r="82" spans="1:22">
      <c r="A82" s="641"/>
      <c r="B82" s="642"/>
      <c r="C82" s="637"/>
      <c r="D82" s="643"/>
      <c r="E82" s="627" t="s">
        <v>638</v>
      </c>
      <c r="F82" s="638">
        <v>7</v>
      </c>
      <c r="G82" s="629" t="s">
        <v>320</v>
      </c>
      <c r="H82" s="630"/>
      <c r="I82" s="639" t="s">
        <v>638</v>
      </c>
      <c r="J82" s="632">
        <v>8</v>
      </c>
      <c r="K82" s="633" t="s">
        <v>321</v>
      </c>
      <c r="L82" s="634"/>
      <c r="M82" s="639" t="s">
        <v>638</v>
      </c>
      <c r="N82" s="632">
        <v>9</v>
      </c>
      <c r="O82" s="633" t="s">
        <v>322</v>
      </c>
      <c r="P82" s="634"/>
      <c r="Q82" s="142"/>
      <c r="R82" s="565"/>
      <c r="S82" s="125"/>
      <c r="T82" s="168" t="str">
        <f>IF(E82="■","050107","")</f>
        <v/>
      </c>
      <c r="U82" s="169" t="str">
        <f>IF(I82="■","050108","")</f>
        <v/>
      </c>
      <c r="V82" s="185" t="str">
        <f>IF(M82="■","050109","")</f>
        <v/>
      </c>
    </row>
    <row r="83" spans="1:22" ht="12" customHeight="1">
      <c r="A83" s="641"/>
      <c r="B83" s="642"/>
      <c r="C83" s="646"/>
      <c r="D83" s="647"/>
      <c r="E83" s="648" t="s">
        <v>638</v>
      </c>
      <c r="F83" s="649">
        <v>99</v>
      </c>
      <c r="G83" s="650" t="s">
        <v>323</v>
      </c>
      <c r="H83" s="651"/>
      <c r="I83" s="652" t="s">
        <v>16</v>
      </c>
      <c r="J83" s="653"/>
      <c r="K83" s="653"/>
      <c r="L83" s="653"/>
      <c r="M83" s="653"/>
      <c r="N83" s="653"/>
      <c r="O83" s="653"/>
      <c r="P83" s="653"/>
      <c r="Q83" s="148" t="s">
        <v>17</v>
      </c>
      <c r="R83" s="149" t="str">
        <f>IF(E83="■","←必須","")</f>
        <v/>
      </c>
      <c r="S83" s="151"/>
      <c r="T83" s="170" t="str">
        <f>IF(E83="■","050199","")</f>
        <v/>
      </c>
      <c r="U83" s="171"/>
      <c r="V83" s="186"/>
    </row>
    <row r="84" spans="1:22">
      <c r="A84" s="641"/>
      <c r="B84" s="654"/>
      <c r="C84" s="655">
        <v>2</v>
      </c>
      <c r="D84" s="656" t="s">
        <v>26</v>
      </c>
      <c r="E84" s="627" t="s">
        <v>638</v>
      </c>
      <c r="F84" s="657">
        <v>1</v>
      </c>
      <c r="G84" s="670" t="s">
        <v>324</v>
      </c>
      <c r="H84" s="659"/>
      <c r="I84" s="660" t="s">
        <v>638</v>
      </c>
      <c r="J84" s="661">
        <v>2</v>
      </c>
      <c r="K84" s="662" t="s">
        <v>325</v>
      </c>
      <c r="L84" s="663"/>
      <c r="M84" s="660" t="s">
        <v>638</v>
      </c>
      <c r="N84" s="661">
        <v>3</v>
      </c>
      <c r="O84" s="662" t="s">
        <v>326</v>
      </c>
      <c r="P84" s="663"/>
      <c r="Q84" s="150"/>
      <c r="R84" s="565"/>
      <c r="S84" s="151"/>
      <c r="T84" s="166" t="str">
        <f>IF(E84="■","050201","")</f>
        <v/>
      </c>
      <c r="U84" s="167" t="str">
        <f>IF(I84="■","050202","")</f>
        <v/>
      </c>
      <c r="V84" s="184" t="str">
        <f>IF(M84="■","050203","")</f>
        <v/>
      </c>
    </row>
    <row r="85" spans="1:22">
      <c r="A85" s="641"/>
      <c r="B85" s="654"/>
      <c r="C85" s="637"/>
      <c r="D85" s="626"/>
      <c r="E85" s="627" t="s">
        <v>638</v>
      </c>
      <c r="F85" s="638">
        <v>4</v>
      </c>
      <c r="G85" s="629" t="s">
        <v>327</v>
      </c>
      <c r="H85" s="630"/>
      <c r="I85" s="639" t="s">
        <v>638</v>
      </c>
      <c r="J85" s="632">
        <v>5</v>
      </c>
      <c r="K85" s="633" t="s">
        <v>328</v>
      </c>
      <c r="L85" s="634"/>
      <c r="M85" s="639" t="s">
        <v>638</v>
      </c>
      <c r="N85" s="632">
        <v>6</v>
      </c>
      <c r="O85" s="633" t="s">
        <v>329</v>
      </c>
      <c r="P85" s="634"/>
      <c r="Q85" s="142"/>
      <c r="R85" s="565"/>
      <c r="S85" s="125"/>
      <c r="T85" s="168" t="str">
        <f>IF(E85="■","050204","")</f>
        <v/>
      </c>
      <c r="U85" s="169" t="str">
        <f>IF(I85="■","050205","")</f>
        <v/>
      </c>
      <c r="V85" s="185" t="str">
        <f>IF(M85="■","050206","")</f>
        <v/>
      </c>
    </row>
    <row r="86" spans="1:22">
      <c r="A86" s="641"/>
      <c r="B86" s="642"/>
      <c r="C86" s="637"/>
      <c r="D86" s="643"/>
      <c r="E86" s="676" t="b">
        <v>0</v>
      </c>
      <c r="F86" s="638"/>
      <c r="G86" s="629"/>
      <c r="H86" s="630"/>
      <c r="I86" s="665" t="b">
        <v>0</v>
      </c>
      <c r="J86" s="632"/>
      <c r="K86" s="633"/>
      <c r="L86" s="634"/>
      <c r="M86" s="645" t="b">
        <v>0</v>
      </c>
      <c r="N86" s="632"/>
      <c r="O86" s="633"/>
      <c r="P86" s="634"/>
      <c r="Q86" s="142"/>
      <c r="R86" s="565"/>
      <c r="S86" s="125"/>
      <c r="T86" s="168"/>
      <c r="U86" s="169"/>
      <c r="V86" s="185"/>
    </row>
    <row r="87" spans="1:22">
      <c r="A87" s="641"/>
      <c r="B87" s="642"/>
      <c r="C87" s="646"/>
      <c r="D87" s="647"/>
      <c r="E87" s="648" t="s">
        <v>638</v>
      </c>
      <c r="F87" s="649">
        <v>99</v>
      </c>
      <c r="G87" s="650" t="s">
        <v>330</v>
      </c>
      <c r="H87" s="651"/>
      <c r="I87" s="652" t="s">
        <v>16</v>
      </c>
      <c r="J87" s="653"/>
      <c r="K87" s="653"/>
      <c r="L87" s="653"/>
      <c r="M87" s="653"/>
      <c r="N87" s="653"/>
      <c r="O87" s="653"/>
      <c r="P87" s="653"/>
      <c r="Q87" s="148" t="s">
        <v>17</v>
      </c>
      <c r="R87" s="149" t="str">
        <f>IF(E87="■","←必須","")</f>
        <v/>
      </c>
      <c r="S87" s="151"/>
      <c r="T87" s="170" t="str">
        <f>IF(E87="■","050299","")</f>
        <v/>
      </c>
      <c r="U87" s="171"/>
      <c r="V87" s="186"/>
    </row>
    <row r="88" spans="1:22">
      <c r="A88" s="641"/>
      <c r="B88" s="654"/>
      <c r="C88" s="655">
        <v>3</v>
      </c>
      <c r="D88" s="656" t="s">
        <v>165</v>
      </c>
      <c r="E88" s="627" t="s">
        <v>638</v>
      </c>
      <c r="F88" s="657">
        <v>1</v>
      </c>
      <c r="G88" s="670" t="s">
        <v>331</v>
      </c>
      <c r="H88" s="659"/>
      <c r="I88" s="660" t="s">
        <v>638</v>
      </c>
      <c r="J88" s="661">
        <v>2</v>
      </c>
      <c r="K88" s="662" t="s">
        <v>332</v>
      </c>
      <c r="L88" s="663"/>
      <c r="M88" s="660" t="s">
        <v>638</v>
      </c>
      <c r="N88" s="661">
        <v>3</v>
      </c>
      <c r="O88" s="662" t="s">
        <v>28</v>
      </c>
      <c r="P88" s="663"/>
      <c r="Q88" s="150"/>
      <c r="R88" s="565"/>
      <c r="S88" s="151"/>
      <c r="T88" s="166" t="str">
        <f>IF(E88="■","050301","")</f>
        <v/>
      </c>
      <c r="U88" s="167" t="str">
        <f>IF(I88="■","050302","")</f>
        <v/>
      </c>
      <c r="V88" s="184" t="str">
        <f>IF(M88="■","050303","")</f>
        <v/>
      </c>
    </row>
    <row r="89" spans="1:22">
      <c r="A89" s="641"/>
      <c r="B89" s="654"/>
      <c r="C89" s="637"/>
      <c r="D89" s="626" t="s">
        <v>528</v>
      </c>
      <c r="E89" s="627" t="s">
        <v>638</v>
      </c>
      <c r="F89" s="638">
        <v>4</v>
      </c>
      <c r="G89" s="629" t="s">
        <v>27</v>
      </c>
      <c r="H89" s="630"/>
      <c r="I89" s="639" t="s">
        <v>638</v>
      </c>
      <c r="J89" s="632">
        <v>5</v>
      </c>
      <c r="K89" s="633" t="s">
        <v>333</v>
      </c>
      <c r="L89" s="634"/>
      <c r="M89" s="639" t="s">
        <v>638</v>
      </c>
      <c r="N89" s="632">
        <v>6</v>
      </c>
      <c r="O89" s="633" t="s">
        <v>334</v>
      </c>
      <c r="P89" s="634"/>
      <c r="Q89" s="142"/>
      <c r="R89" s="565"/>
      <c r="S89" s="125"/>
      <c r="T89" s="168" t="str">
        <f>IF(E89="■","050304","")</f>
        <v/>
      </c>
      <c r="U89" s="169" t="str">
        <f>IF(I89="■","050305","")</f>
        <v/>
      </c>
      <c r="V89" s="185" t="str">
        <f>IF(M89="■","050306","")</f>
        <v/>
      </c>
    </row>
    <row r="90" spans="1:22">
      <c r="A90" s="641"/>
      <c r="B90" s="642"/>
      <c r="C90" s="637"/>
      <c r="D90" s="643"/>
      <c r="E90" s="676" t="b">
        <v>0</v>
      </c>
      <c r="F90" s="638"/>
      <c r="G90" s="629"/>
      <c r="H90" s="630"/>
      <c r="I90" s="665"/>
      <c r="J90" s="632"/>
      <c r="K90" s="633"/>
      <c r="L90" s="634"/>
      <c r="M90" s="645"/>
      <c r="N90" s="632"/>
      <c r="O90" s="633"/>
      <c r="P90" s="634"/>
      <c r="Q90" s="142"/>
      <c r="R90" s="565"/>
      <c r="S90" s="125"/>
      <c r="T90" s="168"/>
      <c r="U90" s="169"/>
      <c r="V90" s="185"/>
    </row>
    <row r="91" spans="1:22">
      <c r="A91" s="666"/>
      <c r="B91" s="667"/>
      <c r="C91" s="646"/>
      <c r="D91" s="647"/>
      <c r="E91" s="648" t="s">
        <v>638</v>
      </c>
      <c r="F91" s="649">
        <v>99</v>
      </c>
      <c r="G91" s="650" t="s">
        <v>335</v>
      </c>
      <c r="H91" s="651"/>
      <c r="I91" s="652" t="s">
        <v>16</v>
      </c>
      <c r="J91" s="653"/>
      <c r="K91" s="653"/>
      <c r="L91" s="653"/>
      <c r="M91" s="653"/>
      <c r="N91" s="653"/>
      <c r="O91" s="653"/>
      <c r="P91" s="653"/>
      <c r="Q91" s="148" t="s">
        <v>17</v>
      </c>
      <c r="R91" s="149" t="str">
        <f>IF(E91="■","←必須","")</f>
        <v/>
      </c>
      <c r="S91" s="151"/>
      <c r="T91" s="170" t="str">
        <f>IF(E91="■","050399","")</f>
        <v/>
      </c>
      <c r="U91" s="171"/>
      <c r="V91" s="186"/>
    </row>
    <row r="92" spans="1:22">
      <c r="A92" s="668">
        <v>6</v>
      </c>
      <c r="B92" s="669" t="s">
        <v>183</v>
      </c>
      <c r="C92" s="655">
        <v>1</v>
      </c>
      <c r="D92" s="656" t="s">
        <v>336</v>
      </c>
      <c r="E92" s="627" t="s">
        <v>638</v>
      </c>
      <c r="F92" s="657">
        <v>1</v>
      </c>
      <c r="G92" s="670" t="s">
        <v>337</v>
      </c>
      <c r="H92" s="659"/>
      <c r="I92" s="660" t="s">
        <v>638</v>
      </c>
      <c r="J92" s="661">
        <v>2</v>
      </c>
      <c r="K92" s="662" t="s">
        <v>338</v>
      </c>
      <c r="L92" s="663"/>
      <c r="M92" s="660" t="s">
        <v>638</v>
      </c>
      <c r="N92" s="661">
        <v>3</v>
      </c>
      <c r="O92" s="662" t="s">
        <v>529</v>
      </c>
      <c r="P92" s="663"/>
      <c r="Q92" s="150"/>
      <c r="R92" s="565"/>
      <c r="S92" s="151"/>
      <c r="T92" s="166" t="str">
        <f>IF(E92="■","060101","")</f>
        <v/>
      </c>
      <c r="U92" s="167" t="str">
        <f>IF(I92="■","060102","")</f>
        <v/>
      </c>
      <c r="V92" s="184" t="str">
        <f>IF(M92="■","060103","")</f>
        <v/>
      </c>
    </row>
    <row r="93" spans="1:22">
      <c r="A93" s="641"/>
      <c r="B93" s="654"/>
      <c r="C93" s="637"/>
      <c r="D93" s="626"/>
      <c r="E93" s="627" t="s">
        <v>638</v>
      </c>
      <c r="F93" s="638">
        <v>4</v>
      </c>
      <c r="G93" s="629" t="s">
        <v>339</v>
      </c>
      <c r="H93" s="630"/>
      <c r="I93" s="639" t="s">
        <v>638</v>
      </c>
      <c r="J93" s="632">
        <v>5</v>
      </c>
      <c r="K93" s="633" t="s">
        <v>340</v>
      </c>
      <c r="L93" s="634"/>
      <c r="M93" s="639" t="s">
        <v>638</v>
      </c>
      <c r="N93" s="632">
        <v>6</v>
      </c>
      <c r="O93" s="633" t="s">
        <v>341</v>
      </c>
      <c r="P93" s="634"/>
      <c r="Q93" s="142"/>
      <c r="R93" s="565"/>
      <c r="S93" s="125"/>
      <c r="T93" s="168" t="str">
        <f>IF(E93="■","060104","")</f>
        <v/>
      </c>
      <c r="U93" s="169" t="str">
        <f>IF(I93="■","060105","")</f>
        <v/>
      </c>
      <c r="V93" s="185" t="str">
        <f>IF(M93="■","060106","")</f>
        <v/>
      </c>
    </row>
    <row r="94" spans="1:22">
      <c r="A94" s="641"/>
      <c r="B94" s="642"/>
      <c r="C94" s="637"/>
      <c r="D94" s="643"/>
      <c r="E94" s="627" t="s">
        <v>638</v>
      </c>
      <c r="F94" s="638">
        <v>7</v>
      </c>
      <c r="G94" s="629" t="s">
        <v>342</v>
      </c>
      <c r="H94" s="630"/>
      <c r="I94" s="639" t="s">
        <v>638</v>
      </c>
      <c r="J94" s="632">
        <v>8</v>
      </c>
      <c r="K94" s="633" t="s">
        <v>343</v>
      </c>
      <c r="L94" s="634"/>
      <c r="M94" s="639" t="s">
        <v>638</v>
      </c>
      <c r="N94" s="632">
        <v>9</v>
      </c>
      <c r="O94" s="633" t="s">
        <v>344</v>
      </c>
      <c r="P94" s="634"/>
      <c r="Q94" s="142"/>
      <c r="R94" s="565"/>
      <c r="S94" s="125"/>
      <c r="T94" s="168" t="str">
        <f>IF(E94="■","060107","")</f>
        <v/>
      </c>
      <c r="U94" s="169" t="str">
        <f>IF(I94="■","060108","")</f>
        <v/>
      </c>
      <c r="V94" s="185" t="str">
        <f>IF(M94="■","060109","")</f>
        <v/>
      </c>
    </row>
    <row r="95" spans="1:22">
      <c r="A95" s="641"/>
      <c r="B95" s="642"/>
      <c r="C95" s="646"/>
      <c r="D95" s="647"/>
      <c r="E95" s="648" t="s">
        <v>638</v>
      </c>
      <c r="F95" s="649">
        <v>99</v>
      </c>
      <c r="G95" s="650" t="s">
        <v>345</v>
      </c>
      <c r="H95" s="651"/>
      <c r="I95" s="652" t="s">
        <v>16</v>
      </c>
      <c r="J95" s="653"/>
      <c r="K95" s="653"/>
      <c r="L95" s="653"/>
      <c r="M95" s="653"/>
      <c r="N95" s="653"/>
      <c r="O95" s="653"/>
      <c r="P95" s="653"/>
      <c r="Q95" s="148" t="s">
        <v>17</v>
      </c>
      <c r="R95" s="149" t="str">
        <f>IF(E95="■","←必須","")</f>
        <v/>
      </c>
      <c r="S95" s="151"/>
      <c r="T95" s="170" t="str">
        <f>IF(E95="■","060199","")</f>
        <v/>
      </c>
      <c r="U95" s="171"/>
      <c r="V95" s="186"/>
    </row>
    <row r="96" spans="1:22">
      <c r="A96" s="641"/>
      <c r="B96" s="654"/>
      <c r="C96" s="655">
        <v>2</v>
      </c>
      <c r="D96" s="656" t="s">
        <v>43</v>
      </c>
      <c r="E96" s="627" t="s">
        <v>638</v>
      </c>
      <c r="F96" s="657">
        <v>1</v>
      </c>
      <c r="G96" s="670" t="s">
        <v>346</v>
      </c>
      <c r="H96" s="659"/>
      <c r="I96" s="660" t="s">
        <v>638</v>
      </c>
      <c r="J96" s="661">
        <v>2</v>
      </c>
      <c r="K96" s="662" t="s">
        <v>347</v>
      </c>
      <c r="L96" s="663"/>
      <c r="M96" s="660" t="s">
        <v>638</v>
      </c>
      <c r="N96" s="661">
        <v>3</v>
      </c>
      <c r="O96" s="662" t="s">
        <v>530</v>
      </c>
      <c r="P96" s="663"/>
      <c r="Q96" s="150"/>
      <c r="R96" s="565"/>
      <c r="S96" s="151"/>
      <c r="T96" s="166" t="str">
        <f>IF(E96="■","060201","")</f>
        <v/>
      </c>
      <c r="U96" s="167" t="str">
        <f>IF(I96="■","060202","")</f>
        <v/>
      </c>
      <c r="V96" s="184" t="str">
        <f>IF(M96="■","060203","")</f>
        <v/>
      </c>
    </row>
    <row r="97" spans="1:22">
      <c r="A97" s="641"/>
      <c r="B97" s="654"/>
      <c r="C97" s="637"/>
      <c r="D97" s="626"/>
      <c r="E97" s="627" t="s">
        <v>638</v>
      </c>
      <c r="F97" s="638">
        <v>4</v>
      </c>
      <c r="G97" s="629" t="s">
        <v>348</v>
      </c>
      <c r="H97" s="630"/>
      <c r="I97" s="639" t="s">
        <v>638</v>
      </c>
      <c r="J97" s="632">
        <v>5</v>
      </c>
      <c r="K97" s="633" t="s">
        <v>349</v>
      </c>
      <c r="L97" s="634"/>
      <c r="M97" s="639" t="s">
        <v>638</v>
      </c>
      <c r="N97" s="632">
        <v>6</v>
      </c>
      <c r="O97" s="633" t="s">
        <v>531</v>
      </c>
      <c r="P97" s="634"/>
      <c r="Q97" s="142"/>
      <c r="R97" s="565"/>
      <c r="S97" s="125"/>
      <c r="T97" s="168" t="str">
        <f>IF(E97="■","060204","")</f>
        <v/>
      </c>
      <c r="U97" s="169" t="str">
        <f>IF(I97="■","060205","")</f>
        <v/>
      </c>
      <c r="V97" s="185" t="str">
        <f>IF(M97="■","060206","")</f>
        <v/>
      </c>
    </row>
    <row r="98" spans="1:22">
      <c r="A98" s="641"/>
      <c r="B98" s="642"/>
      <c r="C98" s="637"/>
      <c r="D98" s="643"/>
      <c r="E98" s="627" t="s">
        <v>638</v>
      </c>
      <c r="F98" s="638">
        <v>7</v>
      </c>
      <c r="G98" s="629" t="s">
        <v>44</v>
      </c>
      <c r="H98" s="630"/>
      <c r="I98" s="665" t="b">
        <v>0</v>
      </c>
      <c r="J98" s="632"/>
      <c r="K98" s="633"/>
      <c r="L98" s="634"/>
      <c r="M98" s="645" t="b">
        <v>0</v>
      </c>
      <c r="N98" s="632"/>
      <c r="O98" s="633"/>
      <c r="P98" s="634"/>
      <c r="Q98" s="142"/>
      <c r="R98" s="565"/>
      <c r="T98" s="168" t="str">
        <f>IF(E98="■","060207","")</f>
        <v/>
      </c>
      <c r="U98" s="169" t="str">
        <f>IF(I98="■","060208","")</f>
        <v/>
      </c>
      <c r="V98" s="185" t="str">
        <f>IF(M98="■","060209","")</f>
        <v/>
      </c>
    </row>
    <row r="99" spans="1:22">
      <c r="A99" s="641"/>
      <c r="B99" s="642"/>
      <c r="C99" s="646"/>
      <c r="D99" s="647"/>
      <c r="E99" s="648" t="s">
        <v>638</v>
      </c>
      <c r="F99" s="649">
        <v>99</v>
      </c>
      <c r="G99" s="650" t="s">
        <v>350</v>
      </c>
      <c r="H99" s="651"/>
      <c r="I99" s="652" t="s">
        <v>16</v>
      </c>
      <c r="J99" s="653"/>
      <c r="K99" s="653"/>
      <c r="L99" s="653"/>
      <c r="M99" s="653"/>
      <c r="N99" s="653"/>
      <c r="O99" s="653"/>
      <c r="P99" s="653"/>
      <c r="Q99" s="148" t="s">
        <v>17</v>
      </c>
      <c r="R99" s="149" t="str">
        <f>IF(E99="■","←必須","")</f>
        <v/>
      </c>
      <c r="S99" s="151"/>
      <c r="T99" s="170" t="str">
        <f>IF(E99="■","060299","")</f>
        <v/>
      </c>
      <c r="U99" s="171"/>
      <c r="V99" s="186"/>
    </row>
    <row r="100" spans="1:22">
      <c r="A100" s="641"/>
      <c r="B100" s="654"/>
      <c r="C100" s="655">
        <v>3</v>
      </c>
      <c r="D100" s="656" t="s">
        <v>166</v>
      </c>
      <c r="E100" s="627" t="s">
        <v>638</v>
      </c>
      <c r="F100" s="657">
        <v>1</v>
      </c>
      <c r="G100" s="670" t="s">
        <v>351</v>
      </c>
      <c r="H100" s="659"/>
      <c r="I100" s="660" t="s">
        <v>638</v>
      </c>
      <c r="J100" s="661">
        <v>2</v>
      </c>
      <c r="K100" s="662" t="s">
        <v>352</v>
      </c>
      <c r="L100" s="663"/>
      <c r="M100" s="660" t="s">
        <v>638</v>
      </c>
      <c r="N100" s="661">
        <v>3</v>
      </c>
      <c r="O100" s="662" t="s">
        <v>353</v>
      </c>
      <c r="P100" s="663"/>
      <c r="Q100" s="150"/>
      <c r="R100" s="565"/>
      <c r="S100" s="151"/>
      <c r="T100" s="166" t="str">
        <f>IF(E100="■","060301","")</f>
        <v/>
      </c>
      <c r="U100" s="167" t="str">
        <f>IF(I100="■","060302","")</f>
        <v/>
      </c>
      <c r="V100" s="184" t="str">
        <f>IF(M100="■","060303","")</f>
        <v/>
      </c>
    </row>
    <row r="101" spans="1:22">
      <c r="A101" s="641"/>
      <c r="B101" s="654"/>
      <c r="C101" s="637"/>
      <c r="D101" s="626" t="s">
        <v>532</v>
      </c>
      <c r="E101" s="627" t="s">
        <v>638</v>
      </c>
      <c r="F101" s="638">
        <v>4</v>
      </c>
      <c r="G101" s="629" t="s">
        <v>354</v>
      </c>
      <c r="H101" s="630"/>
      <c r="I101" s="639" t="s">
        <v>638</v>
      </c>
      <c r="J101" s="632">
        <v>5</v>
      </c>
      <c r="K101" s="633" t="s">
        <v>45</v>
      </c>
      <c r="L101" s="634"/>
      <c r="M101" s="639" t="s">
        <v>638</v>
      </c>
      <c r="N101" s="632">
        <v>6</v>
      </c>
      <c r="O101" s="671" t="s">
        <v>493</v>
      </c>
      <c r="P101" s="634"/>
      <c r="Q101" s="142"/>
      <c r="R101" s="565"/>
      <c r="T101" s="168" t="str">
        <f>IF(E101="■","060304","")</f>
        <v/>
      </c>
      <c r="U101" s="169" t="str">
        <f>IF(I101="■","060305","")</f>
        <v/>
      </c>
      <c r="V101" s="185" t="str">
        <f>IF(M101="■","060306","")</f>
        <v/>
      </c>
    </row>
    <row r="102" spans="1:22">
      <c r="A102" s="641"/>
      <c r="B102" s="642"/>
      <c r="C102" s="637"/>
      <c r="D102" s="643"/>
      <c r="E102" s="627" t="s">
        <v>638</v>
      </c>
      <c r="F102" s="638">
        <v>7</v>
      </c>
      <c r="G102" s="664" t="s">
        <v>494</v>
      </c>
      <c r="H102" s="630"/>
      <c r="I102" s="639" t="s">
        <v>638</v>
      </c>
      <c r="J102" s="632">
        <v>8</v>
      </c>
      <c r="K102" s="671" t="s">
        <v>495</v>
      </c>
      <c r="L102" s="634"/>
      <c r="M102" s="645" t="b">
        <v>0</v>
      </c>
      <c r="N102" s="632"/>
      <c r="O102" s="633"/>
      <c r="P102" s="634"/>
      <c r="Q102" s="142"/>
      <c r="R102" s="565"/>
      <c r="T102" s="168" t="str">
        <f>IF(E102="■","060307","")</f>
        <v/>
      </c>
      <c r="U102" s="169" t="str">
        <f>IF(I102="■","060308","")</f>
        <v/>
      </c>
      <c r="V102" s="185"/>
    </row>
    <row r="103" spans="1:22">
      <c r="A103" s="666"/>
      <c r="B103" s="667"/>
      <c r="C103" s="646"/>
      <c r="D103" s="647"/>
      <c r="E103" s="648" t="s">
        <v>638</v>
      </c>
      <c r="F103" s="649">
        <v>99</v>
      </c>
      <c r="G103" s="650" t="s">
        <v>355</v>
      </c>
      <c r="H103" s="651"/>
      <c r="I103" s="652" t="s">
        <v>16</v>
      </c>
      <c r="J103" s="653"/>
      <c r="K103" s="653"/>
      <c r="L103" s="653"/>
      <c r="M103" s="653"/>
      <c r="N103" s="653"/>
      <c r="O103" s="653"/>
      <c r="P103" s="653"/>
      <c r="Q103" s="148" t="s">
        <v>17</v>
      </c>
      <c r="R103" s="149" t="str">
        <f>IF(E103="■","←必須","")</f>
        <v/>
      </c>
      <c r="S103" s="151"/>
      <c r="T103" s="170" t="str">
        <f>IF(E103="■","060399","")</f>
        <v/>
      </c>
      <c r="U103" s="171"/>
      <c r="V103" s="186"/>
    </row>
    <row r="104" spans="1:22">
      <c r="A104" s="668">
        <v>7</v>
      </c>
      <c r="B104" s="669" t="s">
        <v>184</v>
      </c>
      <c r="C104" s="655">
        <v>1</v>
      </c>
      <c r="D104" s="656" t="s">
        <v>184</v>
      </c>
      <c r="E104" s="627" t="s">
        <v>638</v>
      </c>
      <c r="F104" s="657">
        <v>1</v>
      </c>
      <c r="G104" s="670" t="s">
        <v>533</v>
      </c>
      <c r="H104" s="659"/>
      <c r="I104" s="660" t="s">
        <v>638</v>
      </c>
      <c r="J104" s="661">
        <v>2</v>
      </c>
      <c r="K104" s="662" t="s">
        <v>356</v>
      </c>
      <c r="L104" s="663"/>
      <c r="M104" s="660" t="s">
        <v>638</v>
      </c>
      <c r="N104" s="661">
        <v>3</v>
      </c>
      <c r="O104" s="662" t="s">
        <v>357</v>
      </c>
      <c r="P104" s="663"/>
      <c r="Q104" s="150"/>
      <c r="R104" s="565"/>
      <c r="S104" s="151"/>
      <c r="T104" s="166" t="str">
        <f>IF(E104="■","070101","")</f>
        <v/>
      </c>
      <c r="U104" s="167" t="str">
        <f>IF(I104="■","070102","")</f>
        <v/>
      </c>
      <c r="V104" s="184" t="str">
        <f>IF(M104="■","070103","")</f>
        <v/>
      </c>
    </row>
    <row r="105" spans="1:22">
      <c r="A105" s="641"/>
      <c r="B105" s="654"/>
      <c r="C105" s="637"/>
      <c r="D105" s="626"/>
      <c r="E105" s="627" t="s">
        <v>638</v>
      </c>
      <c r="F105" s="638">
        <v>4</v>
      </c>
      <c r="G105" s="629" t="s">
        <v>358</v>
      </c>
      <c r="H105" s="630"/>
      <c r="I105" s="639" t="s">
        <v>638</v>
      </c>
      <c r="J105" s="632">
        <v>5</v>
      </c>
      <c r="K105" s="633" t="s">
        <v>359</v>
      </c>
      <c r="L105" s="634"/>
      <c r="M105" s="639" t="s">
        <v>638</v>
      </c>
      <c r="N105" s="632">
        <v>6</v>
      </c>
      <c r="O105" s="633" t="s">
        <v>360</v>
      </c>
      <c r="P105" s="634"/>
      <c r="Q105" s="142"/>
      <c r="R105" s="565"/>
      <c r="T105" s="168" t="str">
        <f>IF(E105="■","070104","")</f>
        <v/>
      </c>
      <c r="U105" s="169" t="str">
        <f>IF(I105="■","070105","")</f>
        <v/>
      </c>
      <c r="V105" s="185" t="str">
        <f>IF(M105="■","070106","")</f>
        <v/>
      </c>
    </row>
    <row r="106" spans="1:22">
      <c r="A106" s="641"/>
      <c r="B106" s="642"/>
      <c r="C106" s="637"/>
      <c r="D106" s="643"/>
      <c r="E106" s="627" t="s">
        <v>638</v>
      </c>
      <c r="F106" s="638">
        <v>7</v>
      </c>
      <c r="G106" s="629" t="s">
        <v>534</v>
      </c>
      <c r="H106" s="630"/>
      <c r="I106" s="639" t="s">
        <v>638</v>
      </c>
      <c r="J106" s="632">
        <v>8</v>
      </c>
      <c r="K106" s="633" t="s">
        <v>479</v>
      </c>
      <c r="L106" s="634"/>
      <c r="M106" s="639" t="s">
        <v>638</v>
      </c>
      <c r="N106" s="632">
        <v>9</v>
      </c>
      <c r="O106" s="633" t="s">
        <v>361</v>
      </c>
      <c r="P106" s="634"/>
      <c r="Q106" s="142"/>
      <c r="R106" s="565"/>
      <c r="T106" s="168" t="str">
        <f>IF(E106="■","070107","")</f>
        <v/>
      </c>
      <c r="U106" s="169" t="str">
        <f>IF(I106="■","070108","")</f>
        <v/>
      </c>
      <c r="V106" s="185" t="str">
        <f>IF(M106="■","070109","")</f>
        <v/>
      </c>
    </row>
    <row r="107" spans="1:22">
      <c r="A107" s="666"/>
      <c r="B107" s="667"/>
      <c r="C107" s="646"/>
      <c r="D107" s="647"/>
      <c r="E107" s="648" t="s">
        <v>638</v>
      </c>
      <c r="F107" s="649">
        <v>99</v>
      </c>
      <c r="G107" s="650" t="s">
        <v>362</v>
      </c>
      <c r="H107" s="651"/>
      <c r="I107" s="652" t="s">
        <v>16</v>
      </c>
      <c r="J107" s="653"/>
      <c r="K107" s="653"/>
      <c r="L107" s="653"/>
      <c r="M107" s="653"/>
      <c r="N107" s="653"/>
      <c r="O107" s="653"/>
      <c r="P107" s="653"/>
      <c r="Q107" s="148" t="s">
        <v>17</v>
      </c>
      <c r="R107" s="149" t="str">
        <f>IF(E107="■","←必須","")</f>
        <v/>
      </c>
      <c r="S107" s="151"/>
      <c r="T107" s="170" t="str">
        <f>IF(E107="■","070199","")</f>
        <v/>
      </c>
      <c r="U107" s="171"/>
      <c r="V107" s="186"/>
    </row>
    <row r="108" spans="1:22">
      <c r="A108" s="668">
        <v>8</v>
      </c>
      <c r="B108" s="693" t="s">
        <v>363</v>
      </c>
      <c r="C108" s="655">
        <v>1</v>
      </c>
      <c r="D108" s="656" t="s">
        <v>364</v>
      </c>
      <c r="E108" s="627" t="s">
        <v>638</v>
      </c>
      <c r="F108" s="657">
        <v>1</v>
      </c>
      <c r="G108" s="670" t="s">
        <v>365</v>
      </c>
      <c r="H108" s="659"/>
      <c r="I108" s="660" t="s">
        <v>638</v>
      </c>
      <c r="J108" s="661">
        <v>2</v>
      </c>
      <c r="K108" s="662" t="s">
        <v>366</v>
      </c>
      <c r="L108" s="663"/>
      <c r="M108" s="660" t="s">
        <v>638</v>
      </c>
      <c r="N108" s="661">
        <v>3</v>
      </c>
      <c r="O108" s="662" t="s">
        <v>480</v>
      </c>
      <c r="P108" s="663"/>
      <c r="Q108" s="150"/>
      <c r="R108" s="565"/>
      <c r="S108" s="151"/>
      <c r="T108" s="166" t="str">
        <f>IF(E108="■","080101","")</f>
        <v/>
      </c>
      <c r="U108" s="167" t="str">
        <f>IF(I108="■","080102","")</f>
        <v/>
      </c>
      <c r="V108" s="184" t="str">
        <f>IF(M108="■","080103","")</f>
        <v/>
      </c>
    </row>
    <row r="109" spans="1:22">
      <c r="A109" s="641"/>
      <c r="B109" s="694"/>
      <c r="C109" s="637"/>
      <c r="D109" s="626"/>
      <c r="E109" s="627" t="s">
        <v>638</v>
      </c>
      <c r="F109" s="638">
        <v>4</v>
      </c>
      <c r="G109" s="629" t="s">
        <v>367</v>
      </c>
      <c r="H109" s="630"/>
      <c r="I109" s="639" t="s">
        <v>638</v>
      </c>
      <c r="J109" s="632">
        <v>5</v>
      </c>
      <c r="K109" s="633" t="s">
        <v>368</v>
      </c>
      <c r="L109" s="634"/>
      <c r="M109" s="639" t="s">
        <v>638</v>
      </c>
      <c r="N109" s="632">
        <v>6</v>
      </c>
      <c r="O109" s="633" t="s">
        <v>369</v>
      </c>
      <c r="P109" s="634"/>
      <c r="Q109" s="142"/>
      <c r="R109" s="565"/>
      <c r="T109" s="168" t="str">
        <f>IF(E109="■","080104","")</f>
        <v/>
      </c>
      <c r="U109" s="169" t="str">
        <f>IF(I109="■","080105","")</f>
        <v/>
      </c>
      <c r="V109" s="185" t="str">
        <f>IF(M109="■","080106","")</f>
        <v/>
      </c>
    </row>
    <row r="110" spans="1:22">
      <c r="A110" s="641"/>
      <c r="B110" s="642"/>
      <c r="C110" s="637"/>
      <c r="D110" s="643"/>
      <c r="E110" s="627" t="s">
        <v>638</v>
      </c>
      <c r="F110" s="638">
        <v>7</v>
      </c>
      <c r="G110" s="664" t="s">
        <v>550</v>
      </c>
      <c r="H110" s="630"/>
      <c r="I110" s="665" t="b">
        <v>0</v>
      </c>
      <c r="J110" s="632"/>
      <c r="K110" s="633"/>
      <c r="L110" s="634"/>
      <c r="M110" s="645" t="b">
        <v>0</v>
      </c>
      <c r="N110" s="632"/>
      <c r="O110" s="633"/>
      <c r="P110" s="634"/>
      <c r="Q110" s="142"/>
      <c r="R110" s="565"/>
      <c r="T110" s="168" t="str">
        <f>IF(E110="■","080107","")</f>
        <v/>
      </c>
      <c r="U110" s="169"/>
      <c r="V110" s="185"/>
    </row>
    <row r="111" spans="1:22">
      <c r="A111" s="641"/>
      <c r="B111" s="642"/>
      <c r="C111" s="646"/>
      <c r="D111" s="647"/>
      <c r="E111" s="648" t="s">
        <v>638</v>
      </c>
      <c r="F111" s="649">
        <v>99</v>
      </c>
      <c r="G111" s="650" t="s">
        <v>370</v>
      </c>
      <c r="H111" s="651"/>
      <c r="I111" s="652" t="s">
        <v>16</v>
      </c>
      <c r="J111" s="653"/>
      <c r="K111" s="653"/>
      <c r="L111" s="653"/>
      <c r="M111" s="653"/>
      <c r="N111" s="653"/>
      <c r="O111" s="653"/>
      <c r="P111" s="653"/>
      <c r="Q111" s="148" t="s">
        <v>17</v>
      </c>
      <c r="R111" s="149" t="str">
        <f>IF(E111="■","←必須","")</f>
        <v/>
      </c>
      <c r="S111" s="151"/>
      <c r="T111" s="170" t="str">
        <f>IF(E111="■","080199","")</f>
        <v/>
      </c>
      <c r="U111" s="171"/>
      <c r="V111" s="186"/>
    </row>
    <row r="112" spans="1:22">
      <c r="A112" s="641"/>
      <c r="B112" s="654"/>
      <c r="C112" s="655">
        <v>2</v>
      </c>
      <c r="D112" s="656" t="s">
        <v>481</v>
      </c>
      <c r="E112" s="627" t="s">
        <v>638</v>
      </c>
      <c r="F112" s="657">
        <v>1</v>
      </c>
      <c r="G112" s="670" t="s">
        <v>371</v>
      </c>
      <c r="H112" s="659"/>
      <c r="I112" s="660" t="s">
        <v>638</v>
      </c>
      <c r="J112" s="661">
        <v>2</v>
      </c>
      <c r="K112" s="662" t="s">
        <v>372</v>
      </c>
      <c r="L112" s="663"/>
      <c r="M112" s="660" t="s">
        <v>638</v>
      </c>
      <c r="N112" s="661">
        <v>3</v>
      </c>
      <c r="O112" s="662" t="s">
        <v>373</v>
      </c>
      <c r="P112" s="663"/>
      <c r="Q112" s="150"/>
      <c r="R112" s="565"/>
      <c r="S112" s="151"/>
      <c r="T112" s="166" t="str">
        <f>IF(E112="■","080201","")</f>
        <v/>
      </c>
      <c r="U112" s="167" t="str">
        <f>IF(I112="■","080202","")</f>
        <v/>
      </c>
      <c r="V112" s="184" t="str">
        <f>IF(M112="■","080203","")</f>
        <v/>
      </c>
    </row>
    <row r="113" spans="1:22">
      <c r="A113" s="641"/>
      <c r="B113" s="654"/>
      <c r="C113" s="637"/>
      <c r="D113" s="626" t="s">
        <v>535</v>
      </c>
      <c r="E113" s="627" t="s">
        <v>638</v>
      </c>
      <c r="F113" s="638">
        <v>4</v>
      </c>
      <c r="G113" s="629" t="s">
        <v>482</v>
      </c>
      <c r="H113" s="630"/>
      <c r="I113" s="639" t="s">
        <v>638</v>
      </c>
      <c r="J113" s="632">
        <v>5</v>
      </c>
      <c r="K113" s="633" t="s">
        <v>374</v>
      </c>
      <c r="L113" s="634"/>
      <c r="M113" s="639" t="s">
        <v>638</v>
      </c>
      <c r="N113" s="632">
        <v>6</v>
      </c>
      <c r="O113" s="633" t="s">
        <v>375</v>
      </c>
      <c r="P113" s="634"/>
      <c r="Q113" s="142"/>
      <c r="R113" s="565"/>
      <c r="T113" s="168" t="str">
        <f>IF(E113="■","080204","")</f>
        <v/>
      </c>
      <c r="U113" s="169" t="str">
        <f>IF(I113="■","080205","")</f>
        <v/>
      </c>
      <c r="V113" s="185" t="str">
        <f>IF(M113="■","080206","")</f>
        <v/>
      </c>
    </row>
    <row r="114" spans="1:22">
      <c r="A114" s="641"/>
      <c r="B114" s="642"/>
      <c r="C114" s="637"/>
      <c r="D114" s="643"/>
      <c r="E114" s="627" t="s">
        <v>638</v>
      </c>
      <c r="F114" s="638">
        <v>7</v>
      </c>
      <c r="G114" s="629" t="s">
        <v>376</v>
      </c>
      <c r="H114" s="630"/>
      <c r="I114" s="639" t="s">
        <v>638</v>
      </c>
      <c r="J114" s="632">
        <v>8</v>
      </c>
      <c r="K114" s="633" t="s">
        <v>377</v>
      </c>
      <c r="L114" s="634"/>
      <c r="M114" s="645" t="b">
        <v>0</v>
      </c>
      <c r="N114" s="632"/>
      <c r="O114" s="633"/>
      <c r="P114" s="634"/>
      <c r="Q114" s="142"/>
      <c r="R114" s="565"/>
      <c r="S114" s="125"/>
      <c r="T114" s="168" t="str">
        <f>IF(E114="■","080207","")</f>
        <v/>
      </c>
      <c r="U114" s="169" t="str">
        <f>IF(I114="■","080208","")</f>
        <v/>
      </c>
      <c r="V114" s="185"/>
    </row>
    <row r="115" spans="1:22">
      <c r="A115" s="641"/>
      <c r="B115" s="642"/>
      <c r="C115" s="646"/>
      <c r="D115" s="647"/>
      <c r="E115" s="648" t="s">
        <v>638</v>
      </c>
      <c r="F115" s="649">
        <v>99</v>
      </c>
      <c r="G115" s="650" t="s">
        <v>378</v>
      </c>
      <c r="H115" s="651"/>
      <c r="I115" s="652" t="s">
        <v>16</v>
      </c>
      <c r="J115" s="653"/>
      <c r="K115" s="653"/>
      <c r="L115" s="653"/>
      <c r="M115" s="653"/>
      <c r="N115" s="653"/>
      <c r="O115" s="653"/>
      <c r="P115" s="653"/>
      <c r="Q115" s="148" t="s">
        <v>17</v>
      </c>
      <c r="R115" s="149" t="str">
        <f>IF(E115="■","←必須","")</f>
        <v/>
      </c>
      <c r="S115" s="151"/>
      <c r="T115" s="170" t="str">
        <f>IF(E115="■","080299","")</f>
        <v/>
      </c>
      <c r="U115" s="171"/>
      <c r="V115" s="186"/>
    </row>
    <row r="116" spans="1:22">
      <c r="A116" s="641"/>
      <c r="B116" s="654"/>
      <c r="C116" s="655">
        <v>3</v>
      </c>
      <c r="D116" s="656" t="s">
        <v>379</v>
      </c>
      <c r="E116" s="627" t="s">
        <v>638</v>
      </c>
      <c r="F116" s="657">
        <v>1</v>
      </c>
      <c r="G116" s="670" t="s">
        <v>380</v>
      </c>
      <c r="H116" s="659"/>
      <c r="I116" s="660" t="s">
        <v>638</v>
      </c>
      <c r="J116" s="661">
        <v>2</v>
      </c>
      <c r="K116" s="662" t="s">
        <v>536</v>
      </c>
      <c r="L116" s="663"/>
      <c r="M116" s="660" t="s">
        <v>638</v>
      </c>
      <c r="N116" s="661">
        <v>3</v>
      </c>
      <c r="O116" s="662" t="s">
        <v>537</v>
      </c>
      <c r="P116" s="663"/>
      <c r="Q116" s="150"/>
      <c r="R116" s="565"/>
      <c r="S116" s="151"/>
      <c r="T116" s="166" t="str">
        <f>IF(E116="■","080301","")</f>
        <v/>
      </c>
      <c r="U116" s="167" t="str">
        <f>IF(I116="■","080302","")</f>
        <v/>
      </c>
      <c r="V116" s="184" t="str">
        <f>IF(M116="■","080303","")</f>
        <v/>
      </c>
    </row>
    <row r="117" spans="1:22">
      <c r="A117" s="641"/>
      <c r="B117" s="654"/>
      <c r="C117" s="637"/>
      <c r="D117" s="626"/>
      <c r="E117" s="627" t="s">
        <v>638</v>
      </c>
      <c r="F117" s="638">
        <v>4</v>
      </c>
      <c r="G117" s="629" t="s">
        <v>381</v>
      </c>
      <c r="H117" s="630"/>
      <c r="I117" s="639" t="s">
        <v>638</v>
      </c>
      <c r="J117" s="632">
        <v>5</v>
      </c>
      <c r="K117" s="633" t="s">
        <v>538</v>
      </c>
      <c r="L117" s="634"/>
      <c r="M117" s="645" t="b">
        <v>0</v>
      </c>
      <c r="N117" s="632"/>
      <c r="O117" s="633"/>
      <c r="P117" s="634"/>
      <c r="Q117" s="142"/>
      <c r="R117" s="565"/>
      <c r="S117" s="125"/>
      <c r="T117" s="168" t="str">
        <f>IF(E117="■","080304","")</f>
        <v/>
      </c>
      <c r="U117" s="169" t="str">
        <f>IF(I117="■","080305","")</f>
        <v/>
      </c>
      <c r="V117" s="185"/>
    </row>
    <row r="118" spans="1:22">
      <c r="A118" s="641"/>
      <c r="B118" s="642"/>
      <c r="C118" s="637"/>
      <c r="D118" s="643"/>
      <c r="E118" s="676" t="b">
        <v>0</v>
      </c>
      <c r="F118" s="638"/>
      <c r="G118" s="629"/>
      <c r="H118" s="630"/>
      <c r="I118" s="665" t="b">
        <v>0</v>
      </c>
      <c r="J118" s="632"/>
      <c r="K118" s="633"/>
      <c r="L118" s="634"/>
      <c r="M118" s="645" t="b">
        <v>0</v>
      </c>
      <c r="N118" s="632"/>
      <c r="O118" s="633"/>
      <c r="P118" s="634"/>
      <c r="Q118" s="142"/>
      <c r="R118" s="565"/>
      <c r="S118" s="125"/>
      <c r="T118" s="168"/>
      <c r="U118" s="169"/>
      <c r="V118" s="185"/>
    </row>
    <row r="119" spans="1:22">
      <c r="A119" s="641"/>
      <c r="B119" s="642"/>
      <c r="C119" s="646"/>
      <c r="D119" s="647"/>
      <c r="E119" s="648" t="s">
        <v>638</v>
      </c>
      <c r="F119" s="649">
        <v>99</v>
      </c>
      <c r="G119" s="650" t="s">
        <v>382</v>
      </c>
      <c r="H119" s="651"/>
      <c r="I119" s="652" t="s">
        <v>16</v>
      </c>
      <c r="J119" s="653"/>
      <c r="K119" s="653"/>
      <c r="L119" s="653"/>
      <c r="M119" s="653"/>
      <c r="N119" s="653"/>
      <c r="O119" s="653"/>
      <c r="P119" s="653"/>
      <c r="Q119" s="148" t="s">
        <v>17</v>
      </c>
      <c r="R119" s="149" t="str">
        <f>IF(E119="■","←必須","")</f>
        <v/>
      </c>
      <c r="S119" s="151"/>
      <c r="T119" s="170" t="str">
        <f>IF(E119="■","080399","")</f>
        <v/>
      </c>
      <c r="U119" s="171"/>
      <c r="V119" s="186"/>
    </row>
    <row r="120" spans="1:22" ht="15" customHeight="1">
      <c r="A120" s="641"/>
      <c r="B120" s="654"/>
      <c r="C120" s="655">
        <v>4</v>
      </c>
      <c r="D120" s="656" t="s">
        <v>383</v>
      </c>
      <c r="E120" s="627" t="s">
        <v>638</v>
      </c>
      <c r="F120" s="657">
        <v>1</v>
      </c>
      <c r="G120" s="670" t="s">
        <v>384</v>
      </c>
      <c r="H120" s="659"/>
      <c r="I120" s="660" t="s">
        <v>638</v>
      </c>
      <c r="J120" s="661">
        <v>2</v>
      </c>
      <c r="K120" s="662" t="s">
        <v>385</v>
      </c>
      <c r="L120" s="663"/>
      <c r="M120" s="660" t="s">
        <v>638</v>
      </c>
      <c r="N120" s="661">
        <v>3</v>
      </c>
      <c r="O120" s="662" t="s">
        <v>539</v>
      </c>
      <c r="P120" s="663"/>
      <c r="Q120" s="150"/>
      <c r="R120" s="565"/>
      <c r="S120" s="151"/>
      <c r="T120" s="166" t="str">
        <f>IF(E120="■","080401","")</f>
        <v/>
      </c>
      <c r="U120" s="167" t="str">
        <f>IF(I120="■","080402","")</f>
        <v/>
      </c>
      <c r="V120" s="184" t="str">
        <f>IF(M120="■","080403","")</f>
        <v/>
      </c>
    </row>
    <row r="121" spans="1:22">
      <c r="A121" s="641"/>
      <c r="B121" s="654"/>
      <c r="C121" s="637"/>
      <c r="D121" s="626"/>
      <c r="E121" s="627" t="s">
        <v>638</v>
      </c>
      <c r="F121" s="638">
        <v>4</v>
      </c>
      <c r="G121" s="629" t="s">
        <v>386</v>
      </c>
      <c r="H121" s="630"/>
      <c r="I121" s="639" t="s">
        <v>638</v>
      </c>
      <c r="J121" s="632">
        <v>5</v>
      </c>
      <c r="K121" s="633" t="s">
        <v>387</v>
      </c>
      <c r="L121" s="634"/>
      <c r="M121" s="639" t="s">
        <v>638</v>
      </c>
      <c r="N121" s="632">
        <v>6</v>
      </c>
      <c r="O121" s="633" t="s">
        <v>388</v>
      </c>
      <c r="P121" s="634"/>
      <c r="Q121" s="142"/>
      <c r="R121" s="565"/>
      <c r="S121" s="125"/>
      <c r="T121" s="168" t="str">
        <f>IF(E121="■","080404","")</f>
        <v/>
      </c>
      <c r="U121" s="169" t="str">
        <f>IF(I121="■","080405","")</f>
        <v/>
      </c>
      <c r="V121" s="185" t="str">
        <f>IF(M121="■","080406","")</f>
        <v/>
      </c>
    </row>
    <row r="122" spans="1:22">
      <c r="A122" s="641"/>
      <c r="B122" s="642"/>
      <c r="C122" s="637"/>
      <c r="D122" s="643"/>
      <c r="E122" s="627" t="s">
        <v>638</v>
      </c>
      <c r="F122" s="638">
        <v>7</v>
      </c>
      <c r="G122" s="629" t="s">
        <v>389</v>
      </c>
      <c r="H122" s="630"/>
      <c r="I122" s="639" t="s">
        <v>638</v>
      </c>
      <c r="J122" s="632">
        <v>8</v>
      </c>
      <c r="K122" s="633" t="s">
        <v>390</v>
      </c>
      <c r="L122" s="634"/>
      <c r="M122" s="639" t="s">
        <v>638</v>
      </c>
      <c r="N122" s="632">
        <v>9</v>
      </c>
      <c r="O122" s="633" t="s">
        <v>391</v>
      </c>
      <c r="P122" s="634"/>
      <c r="Q122" s="142"/>
      <c r="R122" s="565"/>
      <c r="S122" s="125"/>
      <c r="T122" s="168" t="str">
        <f>IF(E122="■","080407","")</f>
        <v/>
      </c>
      <c r="U122" s="169" t="str">
        <f>IF(I122="■","080408","")</f>
        <v/>
      </c>
      <c r="V122" s="185" t="str">
        <f>IF(M122="■","080409","")</f>
        <v/>
      </c>
    </row>
    <row r="123" spans="1:22">
      <c r="A123" s="641"/>
      <c r="B123" s="642"/>
      <c r="C123" s="646"/>
      <c r="D123" s="647"/>
      <c r="E123" s="648" t="s">
        <v>638</v>
      </c>
      <c r="F123" s="649">
        <v>99</v>
      </c>
      <c r="G123" s="650" t="s">
        <v>392</v>
      </c>
      <c r="H123" s="651"/>
      <c r="I123" s="652" t="s">
        <v>16</v>
      </c>
      <c r="J123" s="653"/>
      <c r="K123" s="653"/>
      <c r="L123" s="653"/>
      <c r="M123" s="653"/>
      <c r="N123" s="653"/>
      <c r="O123" s="653"/>
      <c r="P123" s="653"/>
      <c r="Q123" s="148" t="s">
        <v>17</v>
      </c>
      <c r="R123" s="149" t="str">
        <f>IF(E123="■","←必須","")</f>
        <v/>
      </c>
      <c r="S123" s="151"/>
      <c r="T123" s="170" t="str">
        <f>IF(E123="■","080499","")</f>
        <v/>
      </c>
      <c r="U123" s="171"/>
      <c r="V123" s="186"/>
    </row>
    <row r="124" spans="1:22">
      <c r="A124" s="641"/>
      <c r="B124" s="654"/>
      <c r="C124" s="655">
        <v>5</v>
      </c>
      <c r="D124" s="656" t="s">
        <v>393</v>
      </c>
      <c r="E124" s="627" t="s">
        <v>638</v>
      </c>
      <c r="F124" s="657">
        <v>1</v>
      </c>
      <c r="G124" s="670" t="s">
        <v>394</v>
      </c>
      <c r="H124" s="659"/>
      <c r="I124" s="660" t="s">
        <v>638</v>
      </c>
      <c r="J124" s="661">
        <v>2</v>
      </c>
      <c r="K124" s="662" t="s">
        <v>540</v>
      </c>
      <c r="L124" s="663"/>
      <c r="M124" s="660" t="s">
        <v>638</v>
      </c>
      <c r="N124" s="661">
        <v>3</v>
      </c>
      <c r="O124" s="662" t="s">
        <v>541</v>
      </c>
      <c r="P124" s="663"/>
      <c r="Q124" s="150"/>
      <c r="R124" s="565"/>
      <c r="S124" s="151"/>
      <c r="T124" s="166" t="str">
        <f>IF(E124="■","080501","")</f>
        <v/>
      </c>
      <c r="U124" s="167" t="str">
        <f>IF(I124="■","080502","")</f>
        <v/>
      </c>
      <c r="V124" s="184" t="str">
        <f>IF(M124="■","080503","")</f>
        <v/>
      </c>
    </row>
    <row r="125" spans="1:22">
      <c r="A125" s="641"/>
      <c r="B125" s="654"/>
      <c r="C125" s="637"/>
      <c r="D125" s="626"/>
      <c r="E125" s="627" t="s">
        <v>638</v>
      </c>
      <c r="F125" s="638">
        <v>4</v>
      </c>
      <c r="G125" s="629" t="s">
        <v>395</v>
      </c>
      <c r="H125" s="630"/>
      <c r="I125" s="639" t="s">
        <v>638</v>
      </c>
      <c r="J125" s="632">
        <v>5</v>
      </c>
      <c r="K125" s="633" t="s">
        <v>46</v>
      </c>
      <c r="L125" s="634"/>
      <c r="M125" s="645" t="b">
        <v>0</v>
      </c>
      <c r="N125" s="632"/>
      <c r="O125" s="633"/>
      <c r="P125" s="634"/>
      <c r="Q125" s="142"/>
      <c r="R125" s="565"/>
      <c r="S125" s="125"/>
      <c r="T125" s="168" t="str">
        <f>IF(E125="■","080504","")</f>
        <v/>
      </c>
      <c r="U125" s="169" t="str">
        <f>IF(I125="■","080505","")</f>
        <v/>
      </c>
      <c r="V125" s="185"/>
    </row>
    <row r="126" spans="1:22">
      <c r="A126" s="641"/>
      <c r="B126" s="642"/>
      <c r="C126" s="637"/>
      <c r="D126" s="643"/>
      <c r="E126" s="676" t="b">
        <v>0</v>
      </c>
      <c r="F126" s="638"/>
      <c r="G126" s="629"/>
      <c r="H126" s="630"/>
      <c r="I126" s="665" t="b">
        <v>0</v>
      </c>
      <c r="J126" s="632"/>
      <c r="K126" s="633"/>
      <c r="L126" s="634"/>
      <c r="M126" s="645" t="b">
        <v>0</v>
      </c>
      <c r="N126" s="632"/>
      <c r="O126" s="633"/>
      <c r="P126" s="634"/>
      <c r="Q126" s="142"/>
      <c r="R126" s="565"/>
      <c r="S126" s="125"/>
      <c r="T126" s="168"/>
      <c r="U126" s="169"/>
      <c r="V126" s="185"/>
    </row>
    <row r="127" spans="1:22" ht="14.25" thickBot="1">
      <c r="A127" s="680"/>
      <c r="B127" s="681"/>
      <c r="C127" s="682"/>
      <c r="D127" s="683"/>
      <c r="E127" s="684" t="s">
        <v>638</v>
      </c>
      <c r="F127" s="685">
        <v>99</v>
      </c>
      <c r="G127" s="686" t="s">
        <v>396</v>
      </c>
      <c r="H127" s="687"/>
      <c r="I127" s="688" t="s">
        <v>16</v>
      </c>
      <c r="J127" s="689"/>
      <c r="K127" s="689"/>
      <c r="L127" s="689"/>
      <c r="M127" s="689"/>
      <c r="N127" s="689"/>
      <c r="O127" s="689"/>
      <c r="P127" s="689"/>
      <c r="Q127" s="153" t="s">
        <v>17</v>
      </c>
      <c r="R127" s="149" t="str">
        <f>IF(E127="■","←必須","")</f>
        <v/>
      </c>
      <c r="S127" s="151"/>
      <c r="T127" s="170" t="str">
        <f>IF(E127="■","080599","")</f>
        <v/>
      </c>
      <c r="U127" s="171"/>
      <c r="V127" s="186"/>
    </row>
    <row r="128" spans="1:22" ht="15" customHeight="1">
      <c r="A128" s="641">
        <v>9</v>
      </c>
      <c r="B128" s="654" t="s">
        <v>185</v>
      </c>
      <c r="C128" s="637">
        <v>1</v>
      </c>
      <c r="D128" s="626" t="s">
        <v>397</v>
      </c>
      <c r="E128" s="627" t="s">
        <v>638</v>
      </c>
      <c r="F128" s="638">
        <v>1</v>
      </c>
      <c r="G128" s="629" t="s">
        <v>483</v>
      </c>
      <c r="H128" s="630"/>
      <c r="I128" s="635" t="s">
        <v>638</v>
      </c>
      <c r="J128" s="632">
        <v>2</v>
      </c>
      <c r="K128" s="633" t="s">
        <v>398</v>
      </c>
      <c r="L128" s="634"/>
      <c r="M128" s="645" t="b">
        <v>0</v>
      </c>
      <c r="N128" s="632"/>
      <c r="O128" s="633"/>
      <c r="P128" s="634"/>
      <c r="Q128" s="142"/>
      <c r="R128" s="565"/>
      <c r="S128" s="151"/>
      <c r="T128" s="166" t="str">
        <f>IF(E128="■","090101","")</f>
        <v/>
      </c>
      <c r="U128" s="167" t="str">
        <f>IF(I128="■","090102","")</f>
        <v/>
      </c>
      <c r="V128" s="184"/>
    </row>
    <row r="129" spans="1:22">
      <c r="A129" s="641"/>
      <c r="B129" s="654"/>
      <c r="C129" s="637"/>
      <c r="D129" s="626"/>
      <c r="E129" s="676" t="b">
        <v>0</v>
      </c>
      <c r="F129" s="638"/>
      <c r="G129" s="629"/>
      <c r="H129" s="630"/>
      <c r="I129" s="665" t="b">
        <v>0</v>
      </c>
      <c r="J129" s="632"/>
      <c r="K129" s="633"/>
      <c r="L129" s="634"/>
      <c r="M129" s="645"/>
      <c r="N129" s="632"/>
      <c r="O129" s="633"/>
      <c r="P129" s="634"/>
      <c r="Q129" s="142"/>
      <c r="R129" s="565"/>
      <c r="S129" s="125"/>
      <c r="T129" s="168"/>
      <c r="U129" s="169"/>
      <c r="V129" s="185"/>
    </row>
    <row r="130" spans="1:22">
      <c r="A130" s="641"/>
      <c r="B130" s="642"/>
      <c r="C130" s="637"/>
      <c r="D130" s="643"/>
      <c r="E130" s="676" t="b">
        <v>0</v>
      </c>
      <c r="F130" s="638"/>
      <c r="G130" s="629"/>
      <c r="H130" s="630"/>
      <c r="I130" s="665" t="b">
        <v>0</v>
      </c>
      <c r="J130" s="632"/>
      <c r="K130" s="633"/>
      <c r="L130" s="634"/>
      <c r="M130" s="645"/>
      <c r="N130" s="632"/>
      <c r="O130" s="633"/>
      <c r="P130" s="634"/>
      <c r="Q130" s="142"/>
      <c r="R130" s="565"/>
      <c r="S130" s="125"/>
      <c r="T130" s="168"/>
      <c r="U130" s="169"/>
      <c r="V130" s="185"/>
    </row>
    <row r="131" spans="1:22" ht="17.25" customHeight="1">
      <c r="A131" s="641"/>
      <c r="B131" s="642"/>
      <c r="C131" s="646"/>
      <c r="D131" s="647"/>
      <c r="E131" s="648" t="s">
        <v>638</v>
      </c>
      <c r="F131" s="649">
        <v>99</v>
      </c>
      <c r="G131" s="650" t="s">
        <v>399</v>
      </c>
      <c r="H131" s="651"/>
      <c r="I131" s="652" t="s">
        <v>16</v>
      </c>
      <c r="J131" s="653"/>
      <c r="K131" s="653"/>
      <c r="L131" s="653"/>
      <c r="M131" s="653"/>
      <c r="N131" s="653"/>
      <c r="O131" s="653"/>
      <c r="P131" s="653"/>
      <c r="Q131" s="148" t="s">
        <v>17</v>
      </c>
      <c r="R131" s="149" t="str">
        <f>IF(E131="■","←必須","")</f>
        <v/>
      </c>
      <c r="S131" s="151"/>
      <c r="T131" s="170" t="str">
        <f>IF(E131="■","090199","")</f>
        <v/>
      </c>
      <c r="U131" s="171"/>
      <c r="V131" s="186"/>
    </row>
    <row r="132" spans="1:22">
      <c r="A132" s="641"/>
      <c r="B132" s="654"/>
      <c r="C132" s="655">
        <v>2</v>
      </c>
      <c r="D132" s="656" t="s">
        <v>400</v>
      </c>
      <c r="E132" s="627" t="s">
        <v>638</v>
      </c>
      <c r="F132" s="657">
        <v>1</v>
      </c>
      <c r="G132" s="670" t="s">
        <v>401</v>
      </c>
      <c r="H132" s="659"/>
      <c r="I132" s="660" t="s">
        <v>638</v>
      </c>
      <c r="J132" s="661">
        <v>2</v>
      </c>
      <c r="K132" s="662" t="s">
        <v>402</v>
      </c>
      <c r="L132" s="663"/>
      <c r="M132" s="660" t="s">
        <v>638</v>
      </c>
      <c r="N132" s="661">
        <v>3</v>
      </c>
      <c r="O132" s="662" t="s">
        <v>403</v>
      </c>
      <c r="P132" s="663"/>
      <c r="Q132" s="150"/>
      <c r="R132" s="565"/>
      <c r="S132" s="151"/>
      <c r="T132" s="166" t="str">
        <f>IF(E132="■","090201","")</f>
        <v/>
      </c>
      <c r="U132" s="167" t="str">
        <f>IF(I132="■","090202","")</f>
        <v/>
      </c>
      <c r="V132" s="184" t="str">
        <f>IF(M132="■","090203","")</f>
        <v/>
      </c>
    </row>
    <row r="133" spans="1:22">
      <c r="A133" s="641"/>
      <c r="B133" s="654"/>
      <c r="C133" s="637"/>
      <c r="D133" s="626"/>
      <c r="E133" s="627" t="s">
        <v>638</v>
      </c>
      <c r="F133" s="638">
        <v>4</v>
      </c>
      <c r="G133" s="629" t="s">
        <v>404</v>
      </c>
      <c r="H133" s="630"/>
      <c r="I133" s="639" t="s">
        <v>638</v>
      </c>
      <c r="J133" s="632">
        <v>5</v>
      </c>
      <c r="K133" s="633" t="s">
        <v>405</v>
      </c>
      <c r="L133" s="634"/>
      <c r="M133" s="639" t="s">
        <v>638</v>
      </c>
      <c r="N133" s="632">
        <v>6</v>
      </c>
      <c r="O133" s="633" t="s">
        <v>406</v>
      </c>
      <c r="P133" s="634"/>
      <c r="Q133" s="142"/>
      <c r="R133" s="565"/>
      <c r="S133" s="125"/>
      <c r="T133" s="168" t="str">
        <f>IF(E133="■","090204","")</f>
        <v/>
      </c>
      <c r="U133" s="169" t="str">
        <f>IF(I133="■","090205","")</f>
        <v/>
      </c>
      <c r="V133" s="185" t="str">
        <f>IF(M133="■","090206","")</f>
        <v/>
      </c>
    </row>
    <row r="134" spans="1:22">
      <c r="A134" s="641"/>
      <c r="B134" s="642"/>
      <c r="C134" s="637"/>
      <c r="D134" s="643"/>
      <c r="E134" s="676" t="b">
        <v>0</v>
      </c>
      <c r="F134" s="638"/>
      <c r="G134" s="629"/>
      <c r="H134" s="630"/>
      <c r="I134" s="665"/>
      <c r="J134" s="632"/>
      <c r="K134" s="633"/>
      <c r="L134" s="634"/>
      <c r="M134" s="645"/>
      <c r="N134" s="632"/>
      <c r="O134" s="633"/>
      <c r="P134" s="634"/>
      <c r="Q134" s="142"/>
      <c r="R134" s="565"/>
      <c r="S134" s="125"/>
      <c r="T134" s="168"/>
      <c r="U134" s="169"/>
      <c r="V134" s="185"/>
    </row>
    <row r="135" spans="1:22">
      <c r="A135" s="641"/>
      <c r="B135" s="642"/>
      <c r="C135" s="646"/>
      <c r="D135" s="647"/>
      <c r="E135" s="648" t="s">
        <v>638</v>
      </c>
      <c r="F135" s="649">
        <v>99</v>
      </c>
      <c r="G135" s="650" t="s">
        <v>407</v>
      </c>
      <c r="H135" s="651"/>
      <c r="I135" s="652" t="s">
        <v>16</v>
      </c>
      <c r="J135" s="653"/>
      <c r="K135" s="653"/>
      <c r="L135" s="653"/>
      <c r="M135" s="653"/>
      <c r="N135" s="653"/>
      <c r="O135" s="653"/>
      <c r="P135" s="653"/>
      <c r="Q135" s="148" t="s">
        <v>17</v>
      </c>
      <c r="R135" s="149" t="str">
        <f>IF(E135="■","←必須","")</f>
        <v/>
      </c>
      <c r="S135" s="151"/>
      <c r="T135" s="170" t="str">
        <f>IF(E135="■","090299","")</f>
        <v/>
      </c>
      <c r="U135" s="171"/>
      <c r="V135" s="186"/>
    </row>
    <row r="136" spans="1:22">
      <c r="A136" s="641"/>
      <c r="B136" s="654"/>
      <c r="C136" s="655">
        <v>3</v>
      </c>
      <c r="D136" s="656" t="s">
        <v>408</v>
      </c>
      <c r="E136" s="627" t="s">
        <v>638</v>
      </c>
      <c r="F136" s="657">
        <v>1</v>
      </c>
      <c r="G136" s="670" t="s">
        <v>409</v>
      </c>
      <c r="H136" s="659"/>
      <c r="I136" s="660" t="s">
        <v>638</v>
      </c>
      <c r="J136" s="661">
        <v>2</v>
      </c>
      <c r="K136" s="662" t="s">
        <v>410</v>
      </c>
      <c r="L136" s="663"/>
      <c r="M136" s="660" t="s">
        <v>638</v>
      </c>
      <c r="N136" s="661">
        <v>3</v>
      </c>
      <c r="O136" s="690" t="s">
        <v>496</v>
      </c>
      <c r="P136" s="663"/>
      <c r="Q136" s="150"/>
      <c r="R136" s="565"/>
      <c r="S136" s="151"/>
      <c r="T136" s="166" t="str">
        <f>IF(E136="■","090301","")</f>
        <v/>
      </c>
      <c r="U136" s="167" t="str">
        <f>IF(I136="■","090302","")</f>
        <v/>
      </c>
      <c r="V136" s="184" t="str">
        <f>IF(M136="■","090303","")</f>
        <v/>
      </c>
    </row>
    <row r="137" spans="1:22">
      <c r="A137" s="641"/>
      <c r="B137" s="654"/>
      <c r="C137" s="637"/>
      <c r="D137" s="626"/>
      <c r="E137" s="627" t="s">
        <v>638</v>
      </c>
      <c r="F137" s="638">
        <v>4</v>
      </c>
      <c r="G137" s="664" t="s">
        <v>497</v>
      </c>
      <c r="H137" s="630"/>
      <c r="I137" s="639" t="s">
        <v>638</v>
      </c>
      <c r="J137" s="632">
        <v>5</v>
      </c>
      <c r="K137" s="633" t="s">
        <v>47</v>
      </c>
      <c r="L137" s="634"/>
      <c r="M137" s="645" t="b">
        <v>0</v>
      </c>
      <c r="N137" s="632"/>
      <c r="O137" s="633"/>
      <c r="P137" s="634"/>
      <c r="Q137" s="142"/>
      <c r="R137" s="565"/>
      <c r="S137" s="125"/>
      <c r="T137" s="168" t="str">
        <f>IF(E137="■","090304","")</f>
        <v/>
      </c>
      <c r="U137" s="169" t="str">
        <f>IF(I137="■","090305","")</f>
        <v/>
      </c>
      <c r="V137" s="185" t="str">
        <f>IF(M137="■","090306","")</f>
        <v/>
      </c>
    </row>
    <row r="138" spans="1:22">
      <c r="A138" s="641"/>
      <c r="B138" s="642"/>
      <c r="C138" s="637"/>
      <c r="D138" s="643"/>
      <c r="E138" s="676" t="s">
        <v>638</v>
      </c>
      <c r="F138" s="638"/>
      <c r="G138" s="629"/>
      <c r="H138" s="630"/>
      <c r="I138" s="665"/>
      <c r="J138" s="632"/>
      <c r="K138" s="633"/>
      <c r="L138" s="634"/>
      <c r="M138" s="645"/>
      <c r="N138" s="632"/>
      <c r="O138" s="633"/>
      <c r="P138" s="634"/>
      <c r="Q138" s="142"/>
      <c r="R138" s="565"/>
      <c r="S138" s="125"/>
      <c r="T138" s="168"/>
      <c r="U138" s="169"/>
      <c r="V138" s="185"/>
    </row>
    <row r="139" spans="1:22">
      <c r="A139" s="641"/>
      <c r="B139" s="642"/>
      <c r="C139" s="646"/>
      <c r="D139" s="647"/>
      <c r="E139" s="648" t="s">
        <v>638</v>
      </c>
      <c r="F139" s="649">
        <v>99</v>
      </c>
      <c r="G139" s="650" t="s">
        <v>411</v>
      </c>
      <c r="H139" s="651"/>
      <c r="I139" s="652" t="s">
        <v>16</v>
      </c>
      <c r="J139" s="653"/>
      <c r="K139" s="653"/>
      <c r="L139" s="653"/>
      <c r="M139" s="653"/>
      <c r="N139" s="653"/>
      <c r="O139" s="653"/>
      <c r="P139" s="653"/>
      <c r="Q139" s="148" t="s">
        <v>17</v>
      </c>
      <c r="R139" s="149" t="str">
        <f>IF(E139="■","←必須","")</f>
        <v/>
      </c>
      <c r="S139" s="151"/>
      <c r="T139" s="170" t="str">
        <f>IF(E139="■","090399","")</f>
        <v/>
      </c>
      <c r="U139" s="171"/>
      <c r="V139" s="186"/>
    </row>
    <row r="140" spans="1:22">
      <c r="A140" s="641"/>
      <c r="B140" s="654"/>
      <c r="C140" s="655">
        <v>4</v>
      </c>
      <c r="D140" s="656" t="s">
        <v>412</v>
      </c>
      <c r="E140" s="627" t="s">
        <v>638</v>
      </c>
      <c r="F140" s="657">
        <v>1</v>
      </c>
      <c r="G140" s="670" t="s">
        <v>413</v>
      </c>
      <c r="H140" s="659"/>
      <c r="I140" s="660" t="s">
        <v>638</v>
      </c>
      <c r="J140" s="661">
        <v>2</v>
      </c>
      <c r="K140" s="662" t="s">
        <v>414</v>
      </c>
      <c r="L140" s="663"/>
      <c r="M140" s="677" t="b">
        <v>0</v>
      </c>
      <c r="N140" s="661"/>
      <c r="O140" s="662"/>
      <c r="P140" s="663"/>
      <c r="Q140" s="150"/>
      <c r="R140" s="565"/>
      <c r="S140" s="151"/>
      <c r="T140" s="166" t="str">
        <f>IF(E140="■","090401","")</f>
        <v/>
      </c>
      <c r="U140" s="167" t="str">
        <f>IF(I140="■","090402","")</f>
        <v/>
      </c>
      <c r="V140" s="184"/>
    </row>
    <row r="141" spans="1:22">
      <c r="A141" s="641"/>
      <c r="B141" s="654"/>
      <c r="C141" s="637"/>
      <c r="D141" s="626" t="s">
        <v>415</v>
      </c>
      <c r="E141" s="676" t="b">
        <v>0</v>
      </c>
      <c r="F141" s="638"/>
      <c r="G141" s="629"/>
      <c r="H141" s="630"/>
      <c r="I141" s="665" t="b">
        <v>0</v>
      </c>
      <c r="J141" s="632"/>
      <c r="K141" s="633"/>
      <c r="L141" s="634"/>
      <c r="M141" s="645" t="b">
        <v>0</v>
      </c>
      <c r="N141" s="632"/>
      <c r="O141" s="633"/>
      <c r="P141" s="634"/>
      <c r="Q141" s="142"/>
      <c r="R141" s="565"/>
      <c r="S141" s="125"/>
      <c r="T141" s="168"/>
      <c r="U141" s="169"/>
      <c r="V141" s="185"/>
    </row>
    <row r="142" spans="1:22">
      <c r="A142" s="641"/>
      <c r="B142" s="642"/>
      <c r="C142" s="637"/>
      <c r="D142" s="643"/>
      <c r="E142" s="676" t="b">
        <v>0</v>
      </c>
      <c r="F142" s="638"/>
      <c r="G142" s="629"/>
      <c r="H142" s="630"/>
      <c r="I142" s="665" t="b">
        <v>0</v>
      </c>
      <c r="J142" s="632"/>
      <c r="K142" s="633"/>
      <c r="L142" s="634"/>
      <c r="M142" s="645" t="b">
        <v>0</v>
      </c>
      <c r="N142" s="632"/>
      <c r="O142" s="633"/>
      <c r="P142" s="634"/>
      <c r="Q142" s="142"/>
      <c r="R142" s="565"/>
      <c r="S142" s="125"/>
      <c r="T142" s="168"/>
      <c r="U142" s="169"/>
      <c r="V142" s="185"/>
    </row>
    <row r="143" spans="1:22">
      <c r="A143" s="641"/>
      <c r="B143" s="642"/>
      <c r="C143" s="646"/>
      <c r="D143" s="647"/>
      <c r="E143" s="648" t="s">
        <v>638</v>
      </c>
      <c r="F143" s="649">
        <v>99</v>
      </c>
      <c r="G143" s="650" t="s">
        <v>416</v>
      </c>
      <c r="H143" s="651"/>
      <c r="I143" s="652" t="s">
        <v>16</v>
      </c>
      <c r="J143" s="653"/>
      <c r="K143" s="653"/>
      <c r="L143" s="653"/>
      <c r="M143" s="653"/>
      <c r="N143" s="653"/>
      <c r="O143" s="653"/>
      <c r="P143" s="653"/>
      <c r="Q143" s="148" t="s">
        <v>17</v>
      </c>
      <c r="R143" s="149" t="str">
        <f>IF(E143="■","←必須","")</f>
        <v/>
      </c>
      <c r="S143" s="151"/>
      <c r="T143" s="170" t="str">
        <f>IF(E143="■","090499","")</f>
        <v/>
      </c>
      <c r="U143" s="171"/>
      <c r="V143" s="186"/>
    </row>
    <row r="144" spans="1:22">
      <c r="A144" s="641"/>
      <c r="B144" s="654"/>
      <c r="C144" s="655">
        <v>5</v>
      </c>
      <c r="D144" s="656" t="s">
        <v>167</v>
      </c>
      <c r="E144" s="627" t="s">
        <v>638</v>
      </c>
      <c r="F144" s="657">
        <v>1</v>
      </c>
      <c r="G144" s="670" t="s">
        <v>417</v>
      </c>
      <c r="H144" s="659"/>
      <c r="I144" s="660" t="s">
        <v>638</v>
      </c>
      <c r="J144" s="661">
        <v>2</v>
      </c>
      <c r="K144" s="662" t="s">
        <v>484</v>
      </c>
      <c r="L144" s="663"/>
      <c r="M144" s="660" t="s">
        <v>638</v>
      </c>
      <c r="N144" s="661">
        <v>3</v>
      </c>
      <c r="O144" s="690" t="s">
        <v>545</v>
      </c>
      <c r="P144" s="663"/>
      <c r="Q144" s="150"/>
      <c r="R144" s="565"/>
      <c r="S144" s="151"/>
      <c r="T144" s="166" t="str">
        <f>IF(E144="■","090501","")</f>
        <v/>
      </c>
      <c r="U144" s="167" t="str">
        <f>IF(I144="■","090502","")</f>
        <v/>
      </c>
      <c r="V144" s="184" t="str">
        <f>IF(M144="■","090503","")</f>
        <v/>
      </c>
    </row>
    <row r="145" spans="1:22">
      <c r="A145" s="641"/>
      <c r="B145" s="654"/>
      <c r="C145" s="637"/>
      <c r="D145" s="626" t="s">
        <v>485</v>
      </c>
      <c r="E145" s="627" t="s">
        <v>638</v>
      </c>
      <c r="F145" s="638">
        <v>4</v>
      </c>
      <c r="G145" s="664" t="s">
        <v>506</v>
      </c>
      <c r="H145" s="630"/>
      <c r="I145" s="639" t="s">
        <v>638</v>
      </c>
      <c r="J145" s="632">
        <v>5</v>
      </c>
      <c r="K145" s="633" t="s">
        <v>418</v>
      </c>
      <c r="L145" s="634"/>
      <c r="M145" s="639" t="s">
        <v>638</v>
      </c>
      <c r="N145" s="632">
        <v>6</v>
      </c>
      <c r="O145" s="633" t="s">
        <v>419</v>
      </c>
      <c r="P145" s="634"/>
      <c r="Q145" s="142"/>
      <c r="R145" s="565"/>
      <c r="S145" s="125"/>
      <c r="T145" s="168" t="str">
        <f>IF(E145="■","090504","")</f>
        <v/>
      </c>
      <c r="U145" s="169" t="str">
        <f>IF(I145="■","090505","")</f>
        <v/>
      </c>
      <c r="V145" s="185" t="str">
        <f>IF(M145="■","090506","")</f>
        <v/>
      </c>
    </row>
    <row r="146" spans="1:22">
      <c r="A146" s="641"/>
      <c r="B146" s="642"/>
      <c r="C146" s="637"/>
      <c r="D146" s="643"/>
      <c r="E146" s="627" t="s">
        <v>638</v>
      </c>
      <c r="F146" s="638">
        <v>7</v>
      </c>
      <c r="G146" s="629" t="s">
        <v>420</v>
      </c>
      <c r="H146" s="630"/>
      <c r="I146" s="665" t="b">
        <v>0</v>
      </c>
      <c r="J146" s="632"/>
      <c r="K146" s="633"/>
      <c r="L146" s="634"/>
      <c r="M146" s="645"/>
      <c r="N146" s="632"/>
      <c r="O146" s="633"/>
      <c r="P146" s="634"/>
      <c r="Q146" s="142"/>
      <c r="R146" s="565"/>
      <c r="S146" s="125"/>
      <c r="T146" s="168" t="str">
        <f>IF(E146="■","090507","")</f>
        <v/>
      </c>
      <c r="U146" s="169"/>
      <c r="V146" s="185"/>
    </row>
    <row r="147" spans="1:22">
      <c r="A147" s="641"/>
      <c r="B147" s="642"/>
      <c r="C147" s="646"/>
      <c r="D147" s="647"/>
      <c r="E147" s="648" t="s">
        <v>638</v>
      </c>
      <c r="F147" s="649">
        <v>99</v>
      </c>
      <c r="G147" s="650" t="s">
        <v>421</v>
      </c>
      <c r="H147" s="651"/>
      <c r="I147" s="652" t="s">
        <v>16</v>
      </c>
      <c r="J147" s="653"/>
      <c r="K147" s="653"/>
      <c r="L147" s="653"/>
      <c r="M147" s="653"/>
      <c r="N147" s="653"/>
      <c r="O147" s="653"/>
      <c r="P147" s="653"/>
      <c r="Q147" s="148" t="s">
        <v>17</v>
      </c>
      <c r="R147" s="149" t="str">
        <f>IF(E147="■","←必須","")</f>
        <v/>
      </c>
      <c r="S147" s="151"/>
      <c r="T147" s="170" t="str">
        <f>IF(E147="■","090599","")</f>
        <v/>
      </c>
      <c r="U147" s="171"/>
      <c r="V147" s="186"/>
    </row>
    <row r="148" spans="1:22">
      <c r="A148" s="641"/>
      <c r="B148" s="654"/>
      <c r="C148" s="655">
        <v>6</v>
      </c>
      <c r="D148" s="656" t="s">
        <v>422</v>
      </c>
      <c r="E148" s="627" t="s">
        <v>638</v>
      </c>
      <c r="F148" s="657">
        <v>1</v>
      </c>
      <c r="G148" s="670" t="s">
        <v>423</v>
      </c>
      <c r="H148" s="659"/>
      <c r="I148" s="660" t="s">
        <v>638</v>
      </c>
      <c r="J148" s="661">
        <v>2</v>
      </c>
      <c r="K148" s="662" t="s">
        <v>424</v>
      </c>
      <c r="L148" s="663"/>
      <c r="M148" s="660" t="s">
        <v>638</v>
      </c>
      <c r="N148" s="661">
        <v>3</v>
      </c>
      <c r="O148" s="662" t="s">
        <v>425</v>
      </c>
      <c r="P148" s="663"/>
      <c r="Q148" s="150"/>
      <c r="R148" s="565"/>
      <c r="S148" s="151"/>
      <c r="T148" s="166" t="str">
        <f>IF(E148="■","090601","")</f>
        <v/>
      </c>
      <c r="U148" s="167" t="str">
        <f>IF(I148="■","090602","")</f>
        <v/>
      </c>
      <c r="V148" s="184" t="str">
        <f>IF(M148="■","090603","")</f>
        <v/>
      </c>
    </row>
    <row r="149" spans="1:22">
      <c r="A149" s="641"/>
      <c r="B149" s="654"/>
      <c r="C149" s="637"/>
      <c r="D149" s="626" t="s">
        <v>426</v>
      </c>
      <c r="E149" s="627" t="s">
        <v>638</v>
      </c>
      <c r="F149" s="638">
        <v>4</v>
      </c>
      <c r="G149" s="629" t="s">
        <v>48</v>
      </c>
      <c r="H149" s="630"/>
      <c r="I149" s="665" t="b">
        <v>0</v>
      </c>
      <c r="J149" s="632"/>
      <c r="K149" s="633"/>
      <c r="L149" s="634"/>
      <c r="M149" s="645" t="b">
        <v>0</v>
      </c>
      <c r="N149" s="632"/>
      <c r="O149" s="633"/>
      <c r="P149" s="634"/>
      <c r="Q149" s="142"/>
      <c r="R149" s="565"/>
      <c r="S149" s="125"/>
      <c r="T149" s="168" t="str">
        <f>IF(E149="■","090604","")</f>
        <v/>
      </c>
      <c r="U149" s="169"/>
      <c r="V149" s="185"/>
    </row>
    <row r="150" spans="1:22">
      <c r="A150" s="641"/>
      <c r="B150" s="642"/>
      <c r="C150" s="637"/>
      <c r="D150" s="643"/>
      <c r="E150" s="676" t="b">
        <v>0</v>
      </c>
      <c r="F150" s="638"/>
      <c r="G150" s="629"/>
      <c r="H150" s="630"/>
      <c r="I150" s="665" t="b">
        <v>0</v>
      </c>
      <c r="J150" s="632"/>
      <c r="K150" s="633"/>
      <c r="L150" s="634"/>
      <c r="M150" s="645" t="b">
        <v>0</v>
      </c>
      <c r="N150" s="632"/>
      <c r="O150" s="633"/>
      <c r="P150" s="634"/>
      <c r="Q150" s="142"/>
      <c r="R150" s="565"/>
      <c r="S150" s="125"/>
      <c r="T150" s="168"/>
      <c r="U150" s="169"/>
      <c r="V150" s="185"/>
    </row>
    <row r="151" spans="1:22">
      <c r="A151" s="641"/>
      <c r="B151" s="642"/>
      <c r="C151" s="646"/>
      <c r="D151" s="647"/>
      <c r="E151" s="648" t="s">
        <v>638</v>
      </c>
      <c r="F151" s="649">
        <v>99</v>
      </c>
      <c r="G151" s="650" t="s">
        <v>427</v>
      </c>
      <c r="H151" s="651"/>
      <c r="I151" s="652" t="s">
        <v>16</v>
      </c>
      <c r="J151" s="653"/>
      <c r="K151" s="653"/>
      <c r="L151" s="653"/>
      <c r="M151" s="653"/>
      <c r="N151" s="653"/>
      <c r="O151" s="653"/>
      <c r="P151" s="653"/>
      <c r="Q151" s="148" t="s">
        <v>17</v>
      </c>
      <c r="R151" s="149" t="str">
        <f>IF(E151="■","←必須","")</f>
        <v/>
      </c>
      <c r="S151" s="151"/>
      <c r="T151" s="170" t="str">
        <f>IF(E151="■","090699","")</f>
        <v/>
      </c>
      <c r="U151" s="171"/>
      <c r="V151" s="186"/>
    </row>
    <row r="152" spans="1:22">
      <c r="A152" s="641"/>
      <c r="B152" s="654"/>
      <c r="C152" s="655">
        <v>7</v>
      </c>
      <c r="D152" s="656" t="s">
        <v>428</v>
      </c>
      <c r="E152" s="627" t="s">
        <v>638</v>
      </c>
      <c r="F152" s="657">
        <v>1</v>
      </c>
      <c r="G152" s="670" t="s">
        <v>429</v>
      </c>
      <c r="H152" s="659"/>
      <c r="I152" s="660" t="s">
        <v>638</v>
      </c>
      <c r="J152" s="661">
        <v>2</v>
      </c>
      <c r="K152" s="662" t="s">
        <v>430</v>
      </c>
      <c r="L152" s="663"/>
      <c r="M152" s="660" t="s">
        <v>638</v>
      </c>
      <c r="N152" s="661">
        <v>3</v>
      </c>
      <c r="O152" s="662" t="s">
        <v>50</v>
      </c>
      <c r="P152" s="663"/>
      <c r="Q152" s="150"/>
      <c r="R152" s="565"/>
      <c r="S152" s="151"/>
      <c r="T152" s="166" t="str">
        <f>IF(E152="■","090701","")</f>
        <v/>
      </c>
      <c r="U152" s="167" t="str">
        <f>IF(I152="■","090702","")</f>
        <v/>
      </c>
      <c r="V152" s="184" t="str">
        <f>IF(M152="■","090703","")</f>
        <v/>
      </c>
    </row>
    <row r="153" spans="1:22">
      <c r="A153" s="641"/>
      <c r="B153" s="654"/>
      <c r="C153" s="637"/>
      <c r="D153" s="626" t="s">
        <v>49</v>
      </c>
      <c r="E153" s="627" t="s">
        <v>638</v>
      </c>
      <c r="F153" s="638">
        <v>4</v>
      </c>
      <c r="G153" s="629" t="s">
        <v>2</v>
      </c>
      <c r="H153" s="630"/>
      <c r="I153" s="639" t="s">
        <v>638</v>
      </c>
      <c r="J153" s="632">
        <v>5</v>
      </c>
      <c r="K153" s="633" t="s">
        <v>431</v>
      </c>
      <c r="L153" s="634"/>
      <c r="M153" s="639" t="s">
        <v>638</v>
      </c>
      <c r="N153" s="632">
        <v>6</v>
      </c>
      <c r="O153" s="633" t="s">
        <v>432</v>
      </c>
      <c r="P153" s="634"/>
      <c r="Q153" s="142"/>
      <c r="R153" s="565"/>
      <c r="S153" s="125"/>
      <c r="T153" s="168" t="str">
        <f>IF(E153="■","090704","")</f>
        <v/>
      </c>
      <c r="U153" s="169" t="str">
        <f>IF(I153="■","090705","")</f>
        <v/>
      </c>
      <c r="V153" s="185" t="str">
        <f>IF(M153="■","090706","")</f>
        <v/>
      </c>
    </row>
    <row r="154" spans="1:22">
      <c r="A154" s="641"/>
      <c r="B154" s="642"/>
      <c r="C154" s="637"/>
      <c r="D154" s="643"/>
      <c r="E154" s="676" t="b">
        <v>0</v>
      </c>
      <c r="F154" s="638"/>
      <c r="G154" s="629"/>
      <c r="H154" s="630"/>
      <c r="I154" s="665" t="b">
        <v>0</v>
      </c>
      <c r="J154" s="632"/>
      <c r="K154" s="633"/>
      <c r="L154" s="634"/>
      <c r="M154" s="645" t="b">
        <v>0</v>
      </c>
      <c r="N154" s="632"/>
      <c r="O154" s="633"/>
      <c r="P154" s="634"/>
      <c r="Q154" s="142"/>
      <c r="R154" s="565"/>
      <c r="S154" s="125"/>
      <c r="T154" s="168"/>
      <c r="U154" s="169"/>
      <c r="V154" s="185"/>
    </row>
    <row r="155" spans="1:22">
      <c r="A155" s="641"/>
      <c r="B155" s="642"/>
      <c r="C155" s="646"/>
      <c r="D155" s="647"/>
      <c r="E155" s="648" t="s">
        <v>638</v>
      </c>
      <c r="F155" s="649">
        <v>99</v>
      </c>
      <c r="G155" s="650" t="s">
        <v>433</v>
      </c>
      <c r="H155" s="651"/>
      <c r="I155" s="652" t="s">
        <v>16</v>
      </c>
      <c r="J155" s="653"/>
      <c r="K155" s="653"/>
      <c r="L155" s="653"/>
      <c r="M155" s="653"/>
      <c r="N155" s="653"/>
      <c r="O155" s="653"/>
      <c r="P155" s="653"/>
      <c r="Q155" s="148" t="s">
        <v>17</v>
      </c>
      <c r="R155" s="149" t="str">
        <f>IF(E155="■","←必須","")</f>
        <v/>
      </c>
      <c r="S155" s="151"/>
      <c r="T155" s="170" t="str">
        <f>IF(E155="■","090799","")</f>
        <v/>
      </c>
      <c r="U155" s="171"/>
      <c r="V155" s="186"/>
    </row>
    <row r="156" spans="1:22">
      <c r="A156" s="641"/>
      <c r="B156" s="654"/>
      <c r="C156" s="655">
        <v>8</v>
      </c>
      <c r="D156" s="656" t="s">
        <v>434</v>
      </c>
      <c r="E156" s="627" t="s">
        <v>638</v>
      </c>
      <c r="F156" s="657">
        <v>1</v>
      </c>
      <c r="G156" s="670" t="s">
        <v>435</v>
      </c>
      <c r="H156" s="659"/>
      <c r="I156" s="660" t="s">
        <v>638</v>
      </c>
      <c r="J156" s="661">
        <v>2</v>
      </c>
      <c r="K156" s="662" t="s">
        <v>436</v>
      </c>
      <c r="L156" s="663"/>
      <c r="M156" s="660" t="s">
        <v>638</v>
      </c>
      <c r="N156" s="661">
        <v>3</v>
      </c>
      <c r="O156" s="662" t="s">
        <v>437</v>
      </c>
      <c r="P156" s="663"/>
      <c r="Q156" s="150"/>
      <c r="R156" s="565"/>
      <c r="S156" s="151"/>
      <c r="T156" s="166" t="str">
        <f>IF(E156="■","090801","")</f>
        <v/>
      </c>
      <c r="U156" s="167" t="str">
        <f>IF(I156="■","090802","")</f>
        <v/>
      </c>
      <c r="V156" s="184" t="str">
        <f>IF(M156="■","090803","")</f>
        <v/>
      </c>
    </row>
    <row r="157" spans="1:22">
      <c r="A157" s="641"/>
      <c r="B157" s="654"/>
      <c r="C157" s="637"/>
      <c r="D157" s="626" t="s">
        <v>426</v>
      </c>
      <c r="E157" s="627" t="s">
        <v>638</v>
      </c>
      <c r="F157" s="638">
        <v>4</v>
      </c>
      <c r="G157" s="629" t="s">
        <v>51</v>
      </c>
      <c r="H157" s="630"/>
      <c r="I157" s="639" t="s">
        <v>638</v>
      </c>
      <c r="J157" s="632">
        <v>5</v>
      </c>
      <c r="K157" s="633" t="s">
        <v>52</v>
      </c>
      <c r="L157" s="634"/>
      <c r="M157" s="639" t="s">
        <v>638</v>
      </c>
      <c r="N157" s="632">
        <v>6</v>
      </c>
      <c r="O157" s="633" t="s">
        <v>438</v>
      </c>
      <c r="P157" s="634"/>
      <c r="Q157" s="142"/>
      <c r="R157" s="565"/>
      <c r="S157" s="125"/>
      <c r="T157" s="168" t="str">
        <f>IF(E157="■","090804","")</f>
        <v/>
      </c>
      <c r="U157" s="169" t="str">
        <f>IF(I157="■","090805","")</f>
        <v/>
      </c>
      <c r="V157" s="185" t="str">
        <f>IF(M157="■","090806","")</f>
        <v/>
      </c>
    </row>
    <row r="158" spans="1:22">
      <c r="A158" s="641"/>
      <c r="B158" s="642"/>
      <c r="C158" s="637"/>
      <c r="D158" s="643"/>
      <c r="E158" s="627" t="s">
        <v>638</v>
      </c>
      <c r="F158" s="638">
        <v>7</v>
      </c>
      <c r="G158" s="629" t="s">
        <v>439</v>
      </c>
      <c r="H158" s="630"/>
      <c r="I158" s="639" t="s">
        <v>638</v>
      </c>
      <c r="J158" s="632">
        <v>8</v>
      </c>
      <c r="K158" s="633" t="s">
        <v>486</v>
      </c>
      <c r="L158" s="634"/>
      <c r="M158" s="639" t="s">
        <v>638</v>
      </c>
      <c r="N158" s="632">
        <v>9</v>
      </c>
      <c r="O158" s="633" t="s">
        <v>53</v>
      </c>
      <c r="P158" s="634"/>
      <c r="Q158" s="142"/>
      <c r="R158" s="565"/>
      <c r="S158" s="125"/>
      <c r="T158" s="168" t="str">
        <f>IF(E158="■","090807","")</f>
        <v/>
      </c>
      <c r="U158" s="169" t="str">
        <f>IF(I158="■","090808","")</f>
        <v/>
      </c>
      <c r="V158" s="185" t="str">
        <f>IF(M158="■","090809","")</f>
        <v/>
      </c>
    </row>
    <row r="159" spans="1:22">
      <c r="A159" s="641"/>
      <c r="B159" s="642"/>
      <c r="C159" s="646"/>
      <c r="D159" s="647"/>
      <c r="E159" s="648" t="s">
        <v>638</v>
      </c>
      <c r="F159" s="649">
        <v>99</v>
      </c>
      <c r="G159" s="650" t="s">
        <v>396</v>
      </c>
      <c r="H159" s="651"/>
      <c r="I159" s="652" t="s">
        <v>16</v>
      </c>
      <c r="J159" s="653"/>
      <c r="K159" s="653"/>
      <c r="L159" s="653"/>
      <c r="M159" s="653"/>
      <c r="N159" s="653"/>
      <c r="O159" s="653"/>
      <c r="P159" s="653"/>
      <c r="Q159" s="148" t="s">
        <v>17</v>
      </c>
      <c r="R159" s="149" t="str">
        <f>IF(E159="■","←必須","")</f>
        <v/>
      </c>
      <c r="S159" s="151"/>
      <c r="T159" s="170" t="str">
        <f>IF(E159="■","090899","")</f>
        <v/>
      </c>
      <c r="U159" s="171"/>
      <c r="V159" s="186"/>
    </row>
    <row r="160" spans="1:22">
      <c r="A160" s="641"/>
      <c r="B160" s="654"/>
      <c r="C160" s="655">
        <v>9</v>
      </c>
      <c r="D160" s="656" t="s">
        <v>440</v>
      </c>
      <c r="E160" s="627" t="s">
        <v>638</v>
      </c>
      <c r="F160" s="657">
        <v>1</v>
      </c>
      <c r="G160" s="670" t="s">
        <v>441</v>
      </c>
      <c r="H160" s="659"/>
      <c r="I160" s="660" t="s">
        <v>638</v>
      </c>
      <c r="J160" s="661">
        <v>2</v>
      </c>
      <c r="K160" s="662" t="s">
        <v>442</v>
      </c>
      <c r="L160" s="663"/>
      <c r="M160" s="660" t="s">
        <v>638</v>
      </c>
      <c r="N160" s="661">
        <v>3</v>
      </c>
      <c r="O160" s="662" t="s">
        <v>443</v>
      </c>
      <c r="P160" s="663"/>
      <c r="Q160" s="150"/>
      <c r="R160" s="565"/>
      <c r="S160" s="151"/>
      <c r="T160" s="166" t="str">
        <f>IF(E160="■","090901","")</f>
        <v/>
      </c>
      <c r="U160" s="167" t="str">
        <f>IF(I160="■","090902","")</f>
        <v/>
      </c>
      <c r="V160" s="184" t="str">
        <f>IF(M160="■","090903","")</f>
        <v/>
      </c>
    </row>
    <row r="161" spans="1:22">
      <c r="A161" s="641"/>
      <c r="B161" s="654"/>
      <c r="C161" s="637"/>
      <c r="D161" s="626" t="s">
        <v>444</v>
      </c>
      <c r="E161" s="627" t="s">
        <v>638</v>
      </c>
      <c r="F161" s="638">
        <v>4</v>
      </c>
      <c r="G161" s="629" t="s">
        <v>542</v>
      </c>
      <c r="H161" s="630"/>
      <c r="I161" s="639" t="s">
        <v>638</v>
      </c>
      <c r="J161" s="632">
        <v>5</v>
      </c>
      <c r="K161" s="633" t="s">
        <v>3</v>
      </c>
      <c r="L161" s="634"/>
      <c r="M161" s="639" t="s">
        <v>638</v>
      </c>
      <c r="N161" s="632">
        <v>6</v>
      </c>
      <c r="O161" s="633" t="s">
        <v>445</v>
      </c>
      <c r="P161" s="634"/>
      <c r="Q161" s="142"/>
      <c r="R161" s="565"/>
      <c r="S161" s="125"/>
      <c r="T161" s="168" t="str">
        <f>IF(E161="■","090904","")</f>
        <v/>
      </c>
      <c r="U161" s="169" t="str">
        <f>IF(I161="■","090905","")</f>
        <v/>
      </c>
      <c r="V161" s="185" t="str">
        <f>IF(M161="■","090906","")</f>
        <v/>
      </c>
    </row>
    <row r="162" spans="1:22">
      <c r="A162" s="641"/>
      <c r="B162" s="642"/>
      <c r="C162" s="637"/>
      <c r="D162" s="643"/>
      <c r="E162" s="627" t="s">
        <v>638</v>
      </c>
      <c r="F162" s="638">
        <v>7</v>
      </c>
      <c r="G162" s="629" t="s">
        <v>543</v>
      </c>
      <c r="H162" s="630"/>
      <c r="I162" s="639" t="s">
        <v>638</v>
      </c>
      <c r="J162" s="632">
        <v>8</v>
      </c>
      <c r="K162" s="633" t="s">
        <v>0</v>
      </c>
      <c r="L162" s="634"/>
      <c r="M162" s="639" t="s">
        <v>638</v>
      </c>
      <c r="N162" s="632">
        <v>9</v>
      </c>
      <c r="O162" s="633" t="s">
        <v>54</v>
      </c>
      <c r="P162" s="634"/>
      <c r="Q162" s="142"/>
      <c r="R162" s="565"/>
      <c r="S162" s="125"/>
      <c r="T162" s="168" t="str">
        <f>IF(E162="■","090907","")</f>
        <v/>
      </c>
      <c r="U162" s="169" t="str">
        <f>IF(I162="■","090908","")</f>
        <v/>
      </c>
      <c r="V162" s="185" t="str">
        <f>IF(M162="■","090909","")</f>
        <v/>
      </c>
    </row>
    <row r="163" spans="1:22">
      <c r="A163" s="641"/>
      <c r="B163" s="642"/>
      <c r="C163" s="646"/>
      <c r="D163" s="647"/>
      <c r="E163" s="648" t="s">
        <v>638</v>
      </c>
      <c r="F163" s="649">
        <v>99</v>
      </c>
      <c r="G163" s="650" t="s">
        <v>396</v>
      </c>
      <c r="H163" s="651"/>
      <c r="I163" s="652" t="s">
        <v>16</v>
      </c>
      <c r="J163" s="653"/>
      <c r="K163" s="653"/>
      <c r="L163" s="653"/>
      <c r="M163" s="653"/>
      <c r="N163" s="653"/>
      <c r="O163" s="653"/>
      <c r="P163" s="653"/>
      <c r="Q163" s="148" t="s">
        <v>17</v>
      </c>
      <c r="R163" s="149" t="str">
        <f>IF(E163="■","←必須","")</f>
        <v/>
      </c>
      <c r="S163" s="151"/>
      <c r="T163" s="168" t="str">
        <f>IF(E163="■","090999","")</f>
        <v/>
      </c>
      <c r="U163" s="169"/>
      <c r="V163" s="185"/>
    </row>
    <row r="164" spans="1:22">
      <c r="A164" s="641"/>
      <c r="B164" s="654"/>
      <c r="C164" s="655">
        <v>10</v>
      </c>
      <c r="D164" s="656" t="s">
        <v>446</v>
      </c>
      <c r="E164" s="627" t="s">
        <v>638</v>
      </c>
      <c r="F164" s="657">
        <v>1</v>
      </c>
      <c r="G164" s="670" t="s">
        <v>55</v>
      </c>
      <c r="H164" s="659"/>
      <c r="I164" s="660" t="s">
        <v>638</v>
      </c>
      <c r="J164" s="661">
        <v>2</v>
      </c>
      <c r="K164" s="662" t="s">
        <v>447</v>
      </c>
      <c r="L164" s="663"/>
      <c r="M164" s="660" t="s">
        <v>638</v>
      </c>
      <c r="N164" s="661">
        <v>3</v>
      </c>
      <c r="O164" s="662" t="s">
        <v>448</v>
      </c>
      <c r="P164" s="663"/>
      <c r="Q164" s="150"/>
      <c r="R164" s="565"/>
      <c r="S164" s="151"/>
      <c r="T164" s="166" t="str">
        <f>IF(E164="■","091001","")</f>
        <v/>
      </c>
      <c r="U164" s="167" t="str">
        <f>IF(I164="■","091002","")</f>
        <v/>
      </c>
      <c r="V164" s="184" t="str">
        <f>IF(M164="■","091003","")</f>
        <v/>
      </c>
    </row>
    <row r="165" spans="1:22">
      <c r="A165" s="641"/>
      <c r="B165" s="654"/>
      <c r="C165" s="637"/>
      <c r="D165" s="626"/>
      <c r="E165" s="627" t="s">
        <v>638</v>
      </c>
      <c r="F165" s="638">
        <v>4</v>
      </c>
      <c r="G165" s="629" t="s">
        <v>449</v>
      </c>
      <c r="H165" s="630"/>
      <c r="I165" s="639" t="s">
        <v>638</v>
      </c>
      <c r="J165" s="632">
        <v>5</v>
      </c>
      <c r="K165" s="633" t="s">
        <v>486</v>
      </c>
      <c r="L165" s="634"/>
      <c r="M165" s="639" t="s">
        <v>638</v>
      </c>
      <c r="N165" s="632">
        <v>6</v>
      </c>
      <c r="O165" s="633" t="s">
        <v>1</v>
      </c>
      <c r="P165" s="634"/>
      <c r="Q165" s="142"/>
      <c r="R165" s="565"/>
      <c r="S165" s="125"/>
      <c r="T165" s="168" t="str">
        <f>IF(E165="■","091004","")</f>
        <v/>
      </c>
      <c r="U165" s="169" t="str">
        <f>IF(I165="■","091005","")</f>
        <v/>
      </c>
      <c r="V165" s="185" t="str">
        <f>IF(M165="■","091006","")</f>
        <v/>
      </c>
    </row>
    <row r="166" spans="1:22">
      <c r="A166" s="641"/>
      <c r="B166" s="642"/>
      <c r="C166" s="637"/>
      <c r="D166" s="643"/>
      <c r="E166" s="627" t="s">
        <v>638</v>
      </c>
      <c r="F166" s="638">
        <v>7</v>
      </c>
      <c r="G166" s="629" t="s">
        <v>450</v>
      </c>
      <c r="H166" s="630"/>
      <c r="I166" s="639" t="s">
        <v>638</v>
      </c>
      <c r="J166" s="632">
        <v>8</v>
      </c>
      <c r="K166" s="633" t="s">
        <v>34</v>
      </c>
      <c r="L166" s="634"/>
      <c r="M166" s="639" t="s">
        <v>638</v>
      </c>
      <c r="N166" s="632">
        <v>9</v>
      </c>
      <c r="O166" s="633" t="s">
        <v>56</v>
      </c>
      <c r="P166" s="634"/>
      <c r="Q166" s="142"/>
      <c r="R166" s="565"/>
      <c r="S166" s="125"/>
      <c r="T166" s="168" t="str">
        <f>IF(E166="■","091007","")</f>
        <v/>
      </c>
      <c r="U166" s="169" t="str">
        <f>IF(I166="■","091008","")</f>
        <v/>
      </c>
      <c r="V166" s="185" t="str">
        <f>IF(M166="■","091009","")</f>
        <v/>
      </c>
    </row>
    <row r="167" spans="1:22">
      <c r="A167" s="641"/>
      <c r="B167" s="642"/>
      <c r="C167" s="646"/>
      <c r="D167" s="647"/>
      <c r="E167" s="648" t="s">
        <v>638</v>
      </c>
      <c r="F167" s="649">
        <v>99</v>
      </c>
      <c r="G167" s="650" t="s">
        <v>396</v>
      </c>
      <c r="H167" s="651"/>
      <c r="I167" s="652" t="s">
        <v>16</v>
      </c>
      <c r="J167" s="653"/>
      <c r="K167" s="653"/>
      <c r="L167" s="653"/>
      <c r="M167" s="653"/>
      <c r="N167" s="653"/>
      <c r="O167" s="653"/>
      <c r="P167" s="653"/>
      <c r="Q167" s="148" t="s">
        <v>17</v>
      </c>
      <c r="R167" s="149" t="str">
        <f>IF(E167="■","←必須","")</f>
        <v/>
      </c>
      <c r="S167" s="151"/>
      <c r="T167" s="170" t="str">
        <f>IF(E167="■","091099","")</f>
        <v/>
      </c>
      <c r="U167" s="171"/>
      <c r="V167" s="186"/>
    </row>
    <row r="168" spans="1:22">
      <c r="A168" s="641"/>
      <c r="B168" s="654"/>
      <c r="C168" s="655">
        <v>11</v>
      </c>
      <c r="D168" s="656" t="s">
        <v>451</v>
      </c>
      <c r="E168" s="627" t="s">
        <v>638</v>
      </c>
      <c r="F168" s="657">
        <v>1</v>
      </c>
      <c r="G168" s="670" t="s">
        <v>452</v>
      </c>
      <c r="H168" s="659"/>
      <c r="I168" s="660" t="s">
        <v>638</v>
      </c>
      <c r="J168" s="661">
        <v>2</v>
      </c>
      <c r="K168" s="662" t="s">
        <v>453</v>
      </c>
      <c r="L168" s="663"/>
      <c r="M168" s="660" t="s">
        <v>638</v>
      </c>
      <c r="N168" s="661">
        <v>3</v>
      </c>
      <c r="O168" s="662" t="s">
        <v>454</v>
      </c>
      <c r="P168" s="663"/>
      <c r="Q168" s="150"/>
      <c r="R168" s="565"/>
      <c r="S168" s="151"/>
      <c r="T168" s="166" t="str">
        <f>IF(E168="■","091101","")</f>
        <v/>
      </c>
      <c r="U168" s="167" t="str">
        <f>IF(I168="■","091102","")</f>
        <v/>
      </c>
      <c r="V168" s="184" t="str">
        <f>IF(M168="■","091103","")</f>
        <v/>
      </c>
    </row>
    <row r="169" spans="1:22">
      <c r="A169" s="641"/>
      <c r="B169" s="654"/>
      <c r="C169" s="637"/>
      <c r="D169" s="626"/>
      <c r="E169" s="627" t="s">
        <v>638</v>
      </c>
      <c r="F169" s="638">
        <v>4</v>
      </c>
      <c r="G169" s="629" t="s">
        <v>455</v>
      </c>
      <c r="H169" s="630"/>
      <c r="I169" s="639" t="s">
        <v>638</v>
      </c>
      <c r="J169" s="632">
        <v>5</v>
      </c>
      <c r="K169" s="633" t="s">
        <v>456</v>
      </c>
      <c r="L169" s="634"/>
      <c r="M169" s="639" t="s">
        <v>638</v>
      </c>
      <c r="N169" s="632">
        <v>6</v>
      </c>
      <c r="O169" s="633" t="s">
        <v>457</v>
      </c>
      <c r="P169" s="634"/>
      <c r="Q169" s="142"/>
      <c r="R169" s="565"/>
      <c r="S169" s="125"/>
      <c r="T169" s="168" t="str">
        <f>IF(E169="■","091104","")</f>
        <v/>
      </c>
      <c r="U169" s="169" t="str">
        <f>IF(I169="■","091105","")</f>
        <v/>
      </c>
      <c r="V169" s="185" t="str">
        <f>IF(M169="■","091106","")</f>
        <v/>
      </c>
    </row>
    <row r="170" spans="1:22">
      <c r="A170" s="641"/>
      <c r="B170" s="642"/>
      <c r="C170" s="637"/>
      <c r="D170" s="643"/>
      <c r="E170" s="627" t="s">
        <v>638</v>
      </c>
      <c r="F170" s="638">
        <v>7</v>
      </c>
      <c r="G170" s="629" t="s">
        <v>458</v>
      </c>
      <c r="H170" s="630"/>
      <c r="I170" s="639" t="s">
        <v>638</v>
      </c>
      <c r="J170" s="632">
        <v>8</v>
      </c>
      <c r="K170" s="633" t="s">
        <v>459</v>
      </c>
      <c r="L170" s="634"/>
      <c r="M170" s="639" t="s">
        <v>638</v>
      </c>
      <c r="N170" s="632">
        <v>9</v>
      </c>
      <c r="O170" s="633" t="s">
        <v>57</v>
      </c>
      <c r="P170" s="634"/>
      <c r="Q170" s="142"/>
      <c r="R170" s="565"/>
      <c r="S170" s="125"/>
      <c r="T170" s="168" t="str">
        <f>IF(E170="■","091107","")</f>
        <v/>
      </c>
      <c r="U170" s="169" t="str">
        <f>IF(I170="■","091108","")</f>
        <v/>
      </c>
      <c r="V170" s="185" t="str">
        <f>IF(M170="■","091109","")</f>
        <v/>
      </c>
    </row>
    <row r="171" spans="1:22">
      <c r="A171" s="641"/>
      <c r="B171" s="642"/>
      <c r="C171" s="646"/>
      <c r="D171" s="647"/>
      <c r="E171" s="648" t="s">
        <v>638</v>
      </c>
      <c r="F171" s="649">
        <v>99</v>
      </c>
      <c r="G171" s="650" t="s">
        <v>396</v>
      </c>
      <c r="H171" s="651"/>
      <c r="I171" s="652" t="s">
        <v>16</v>
      </c>
      <c r="J171" s="653"/>
      <c r="K171" s="653"/>
      <c r="L171" s="653"/>
      <c r="M171" s="653"/>
      <c r="N171" s="653"/>
      <c r="O171" s="653"/>
      <c r="P171" s="653"/>
      <c r="Q171" s="148" t="s">
        <v>17</v>
      </c>
      <c r="R171" s="149" t="str">
        <f>IF(E171="■","←必須","")</f>
        <v/>
      </c>
      <c r="S171" s="151"/>
      <c r="T171" s="170" t="str">
        <f>IF(E171="■","091199","")</f>
        <v/>
      </c>
      <c r="U171" s="171"/>
      <c r="V171" s="186"/>
    </row>
    <row r="172" spans="1:22">
      <c r="A172" s="641"/>
      <c r="B172" s="654"/>
      <c r="C172" s="655">
        <v>12</v>
      </c>
      <c r="D172" s="656" t="s">
        <v>460</v>
      </c>
      <c r="E172" s="627" t="s">
        <v>638</v>
      </c>
      <c r="F172" s="657">
        <v>1</v>
      </c>
      <c r="G172" s="670" t="s">
        <v>461</v>
      </c>
      <c r="H172" s="659"/>
      <c r="I172" s="660" t="s">
        <v>638</v>
      </c>
      <c r="J172" s="661">
        <v>2</v>
      </c>
      <c r="K172" s="662" t="s">
        <v>462</v>
      </c>
      <c r="L172" s="663"/>
      <c r="M172" s="660" t="s">
        <v>638</v>
      </c>
      <c r="N172" s="661">
        <v>3</v>
      </c>
      <c r="O172" s="662" t="s">
        <v>463</v>
      </c>
      <c r="P172" s="663"/>
      <c r="Q172" s="150"/>
      <c r="R172" s="565"/>
      <c r="S172" s="151"/>
      <c r="T172" s="166" t="str">
        <f>IF(E172="■","091201","")</f>
        <v/>
      </c>
      <c r="U172" s="167" t="str">
        <f>IF(I172="■","091202","")</f>
        <v/>
      </c>
      <c r="V172" s="184" t="str">
        <f>IF(M172="■","091203","")</f>
        <v/>
      </c>
    </row>
    <row r="173" spans="1:22">
      <c r="A173" s="641"/>
      <c r="B173" s="654"/>
      <c r="C173" s="637"/>
      <c r="D173" s="626"/>
      <c r="E173" s="627" t="s">
        <v>638</v>
      </c>
      <c r="F173" s="638">
        <v>4</v>
      </c>
      <c r="G173" s="629" t="s">
        <v>544</v>
      </c>
      <c r="H173" s="630"/>
      <c r="I173" s="639" t="s">
        <v>638</v>
      </c>
      <c r="J173" s="632">
        <v>5</v>
      </c>
      <c r="K173" s="633" t="s">
        <v>464</v>
      </c>
      <c r="L173" s="634"/>
      <c r="M173" s="645" t="b">
        <v>0</v>
      </c>
      <c r="N173" s="632"/>
      <c r="O173" s="633"/>
      <c r="P173" s="634"/>
      <c r="Q173" s="142"/>
      <c r="R173" s="565"/>
      <c r="S173" s="125"/>
      <c r="T173" s="168" t="str">
        <f>IF(E173="■","091204","")</f>
        <v/>
      </c>
      <c r="U173" s="169" t="str">
        <f>IF(I173="■","091205","")</f>
        <v/>
      </c>
      <c r="V173" s="185"/>
    </row>
    <row r="174" spans="1:22">
      <c r="A174" s="641"/>
      <c r="B174" s="642"/>
      <c r="C174" s="637"/>
      <c r="D174" s="643"/>
      <c r="E174" s="676" t="b">
        <v>0</v>
      </c>
      <c r="F174" s="638"/>
      <c r="G174" s="629"/>
      <c r="H174" s="630"/>
      <c r="I174" s="665" t="b">
        <v>0</v>
      </c>
      <c r="J174" s="632"/>
      <c r="K174" s="633"/>
      <c r="L174" s="634"/>
      <c r="M174" s="645" t="b">
        <v>0</v>
      </c>
      <c r="N174" s="632"/>
      <c r="O174" s="633"/>
      <c r="P174" s="634"/>
      <c r="Q174" s="142"/>
      <c r="R174" s="565"/>
      <c r="S174" s="125"/>
      <c r="T174" s="168"/>
      <c r="U174" s="169"/>
      <c r="V174" s="185"/>
    </row>
    <row r="175" spans="1:22">
      <c r="A175" s="641"/>
      <c r="B175" s="642"/>
      <c r="C175" s="646"/>
      <c r="D175" s="647"/>
      <c r="E175" s="648" t="s">
        <v>638</v>
      </c>
      <c r="F175" s="649">
        <v>99</v>
      </c>
      <c r="G175" s="650" t="s">
        <v>465</v>
      </c>
      <c r="H175" s="651"/>
      <c r="I175" s="652" t="s">
        <v>16</v>
      </c>
      <c r="J175" s="653"/>
      <c r="K175" s="653"/>
      <c r="L175" s="653"/>
      <c r="M175" s="653"/>
      <c r="N175" s="653"/>
      <c r="O175" s="653"/>
      <c r="P175" s="653"/>
      <c r="Q175" s="148" t="s">
        <v>17</v>
      </c>
      <c r="R175" s="149" t="str">
        <f>IF(E175="■","←必須","")</f>
        <v/>
      </c>
      <c r="S175" s="151"/>
      <c r="T175" s="170" t="str">
        <f>IF(E175="■","091299","")</f>
        <v/>
      </c>
      <c r="U175" s="171"/>
      <c r="V175" s="186"/>
    </row>
    <row r="176" spans="1:22">
      <c r="A176" s="641"/>
      <c r="B176" s="654"/>
      <c r="C176" s="655">
        <v>13</v>
      </c>
      <c r="D176" s="656" t="s">
        <v>466</v>
      </c>
      <c r="E176" s="695" t="s">
        <v>638</v>
      </c>
      <c r="F176" s="657">
        <v>1</v>
      </c>
      <c r="G176" s="670" t="s">
        <v>467</v>
      </c>
      <c r="H176" s="659"/>
      <c r="I176" s="660" t="s">
        <v>638</v>
      </c>
      <c r="J176" s="661">
        <v>2</v>
      </c>
      <c r="K176" s="662" t="s">
        <v>468</v>
      </c>
      <c r="L176" s="663"/>
      <c r="M176" s="660" t="s">
        <v>638</v>
      </c>
      <c r="N176" s="661">
        <v>3</v>
      </c>
      <c r="O176" s="662" t="s">
        <v>469</v>
      </c>
      <c r="P176" s="663"/>
      <c r="Q176" s="150"/>
      <c r="R176" s="565"/>
      <c r="S176" s="151"/>
      <c r="T176" s="166" t="str">
        <f>IF(E176="■","091301","")</f>
        <v/>
      </c>
      <c r="U176" s="167" t="str">
        <f>IF(I176="■","091302","")</f>
        <v/>
      </c>
      <c r="V176" s="184" t="str">
        <f>IF(M176="■","091303","")</f>
        <v/>
      </c>
    </row>
    <row r="177" spans="1:22">
      <c r="A177" s="641"/>
      <c r="B177" s="654"/>
      <c r="C177" s="637"/>
      <c r="D177" s="626"/>
      <c r="E177" s="676" t="b">
        <v>0</v>
      </c>
      <c r="F177" s="638"/>
      <c r="G177" s="629"/>
      <c r="H177" s="630"/>
      <c r="I177" s="665"/>
      <c r="J177" s="632"/>
      <c r="K177" s="633"/>
      <c r="L177" s="634"/>
      <c r="M177" s="645"/>
      <c r="N177" s="632"/>
      <c r="O177" s="633"/>
      <c r="P177" s="634"/>
      <c r="Q177" s="142"/>
      <c r="R177" s="565"/>
      <c r="S177" s="125"/>
      <c r="T177" s="168"/>
      <c r="U177" s="169"/>
      <c r="V177" s="185"/>
    </row>
    <row r="178" spans="1:22">
      <c r="A178" s="641"/>
      <c r="B178" s="642"/>
      <c r="C178" s="637"/>
      <c r="D178" s="643"/>
      <c r="E178" s="676" t="b">
        <v>0</v>
      </c>
      <c r="F178" s="638"/>
      <c r="G178" s="629"/>
      <c r="H178" s="630"/>
      <c r="I178" s="665"/>
      <c r="J178" s="632"/>
      <c r="K178" s="633"/>
      <c r="L178" s="634"/>
      <c r="M178" s="645"/>
      <c r="N178" s="632"/>
      <c r="O178" s="633"/>
      <c r="P178" s="634"/>
      <c r="Q178" s="142"/>
      <c r="R178" s="565"/>
      <c r="S178" s="125"/>
      <c r="T178" s="168"/>
      <c r="U178" s="169"/>
      <c r="V178" s="185"/>
    </row>
    <row r="179" spans="1:22">
      <c r="A179" s="641"/>
      <c r="B179" s="642"/>
      <c r="C179" s="646"/>
      <c r="D179" s="647"/>
      <c r="E179" s="648" t="s">
        <v>638</v>
      </c>
      <c r="F179" s="649">
        <v>99</v>
      </c>
      <c r="G179" s="650" t="s">
        <v>470</v>
      </c>
      <c r="H179" s="651"/>
      <c r="I179" s="652" t="s">
        <v>16</v>
      </c>
      <c r="J179" s="653"/>
      <c r="K179" s="653"/>
      <c r="L179" s="653"/>
      <c r="M179" s="653"/>
      <c r="N179" s="653"/>
      <c r="O179" s="653"/>
      <c r="P179" s="653"/>
      <c r="Q179" s="148" t="s">
        <v>17</v>
      </c>
      <c r="R179" s="149" t="str">
        <f>IF(E179="■","←必須","")</f>
        <v/>
      </c>
      <c r="S179" s="151"/>
      <c r="T179" s="170" t="str">
        <f>IF(E179="■","091399","")</f>
        <v/>
      </c>
      <c r="U179" s="171"/>
      <c r="V179" s="186"/>
    </row>
    <row r="180" spans="1:22">
      <c r="A180" s="641"/>
      <c r="B180" s="654"/>
      <c r="C180" s="655">
        <v>14</v>
      </c>
      <c r="D180" s="656" t="s">
        <v>396</v>
      </c>
      <c r="E180" s="695" t="s">
        <v>638</v>
      </c>
      <c r="F180" s="657">
        <v>1</v>
      </c>
      <c r="G180" s="670" t="s">
        <v>546</v>
      </c>
      <c r="H180" s="659"/>
      <c r="I180" s="660" t="s">
        <v>638</v>
      </c>
      <c r="J180" s="661">
        <v>2</v>
      </c>
      <c r="K180" s="690" t="s">
        <v>551</v>
      </c>
      <c r="L180" s="663"/>
      <c r="M180" s="677" t="b">
        <v>0</v>
      </c>
      <c r="N180" s="661"/>
      <c r="O180" s="662"/>
      <c r="P180" s="663"/>
      <c r="Q180" s="150"/>
      <c r="R180" s="565"/>
      <c r="S180" s="151"/>
      <c r="T180" s="166" t="str">
        <f>IF(E180="■","091401","")</f>
        <v/>
      </c>
      <c r="U180" s="167" t="str">
        <f>IF(I180="■","091402","")</f>
        <v/>
      </c>
      <c r="V180" s="184"/>
    </row>
    <row r="181" spans="1:22">
      <c r="A181" s="641"/>
      <c r="B181" s="654"/>
      <c r="C181" s="637"/>
      <c r="D181" s="626"/>
      <c r="E181" s="676" t="b">
        <v>0</v>
      </c>
      <c r="F181" s="638"/>
      <c r="G181" s="629"/>
      <c r="H181" s="630"/>
      <c r="I181" s="665" t="b">
        <v>0</v>
      </c>
      <c r="J181" s="632"/>
      <c r="K181" s="633"/>
      <c r="L181" s="634"/>
      <c r="M181" s="645" t="b">
        <v>0</v>
      </c>
      <c r="N181" s="632"/>
      <c r="O181" s="633"/>
      <c r="P181" s="634"/>
      <c r="Q181" s="142"/>
      <c r="R181" s="565"/>
      <c r="T181" s="168"/>
      <c r="U181" s="169"/>
      <c r="V181" s="185"/>
    </row>
    <row r="182" spans="1:22">
      <c r="A182" s="641"/>
      <c r="B182" s="642"/>
      <c r="C182" s="637"/>
      <c r="D182" s="643"/>
      <c r="E182" s="676" t="b">
        <v>0</v>
      </c>
      <c r="F182" s="638"/>
      <c r="G182" s="629"/>
      <c r="H182" s="630"/>
      <c r="I182" s="665" t="b">
        <v>0</v>
      </c>
      <c r="J182" s="632"/>
      <c r="K182" s="633"/>
      <c r="L182" s="634"/>
      <c r="M182" s="645" t="b">
        <v>0</v>
      </c>
      <c r="N182" s="632"/>
      <c r="O182" s="633"/>
      <c r="P182" s="634"/>
      <c r="Q182" s="142"/>
      <c r="R182" s="565"/>
      <c r="T182" s="168"/>
      <c r="U182" s="169"/>
      <c r="V182" s="185"/>
    </row>
    <row r="183" spans="1:22" ht="14.25" thickBot="1">
      <c r="A183" s="680"/>
      <c r="B183" s="681"/>
      <c r="C183" s="682"/>
      <c r="D183" s="683"/>
      <c r="E183" s="684" t="s">
        <v>638</v>
      </c>
      <c r="F183" s="685">
        <v>99</v>
      </c>
      <c r="G183" s="686" t="s">
        <v>19</v>
      </c>
      <c r="H183" s="687"/>
      <c r="I183" s="688" t="s">
        <v>16</v>
      </c>
      <c r="J183" s="689"/>
      <c r="K183" s="689"/>
      <c r="L183" s="689"/>
      <c r="M183" s="689"/>
      <c r="N183" s="689"/>
      <c r="O183" s="689"/>
      <c r="P183" s="689"/>
      <c r="Q183" s="153" t="s">
        <v>17</v>
      </c>
      <c r="R183" s="149" t="str">
        <f>IF(E183="■","←必須","")</f>
        <v/>
      </c>
      <c r="S183" s="151"/>
      <c r="T183" s="170" t="str">
        <f>IF(E183="■","091499","")</f>
        <v/>
      </c>
      <c r="U183" s="171"/>
      <c r="V183" s="186"/>
    </row>
    <row r="184" spans="1:22">
      <c r="Q184" s="141"/>
      <c r="R184" s="151"/>
      <c r="S184" s="151"/>
    </row>
  </sheetData>
  <sheetProtection selectLockedCells="1"/>
  <mergeCells count="96">
    <mergeCell ref="R20:R22"/>
    <mergeCell ref="B3:B4"/>
    <mergeCell ref="R3:R5"/>
    <mergeCell ref="S6:S7"/>
    <mergeCell ref="R7:R10"/>
    <mergeCell ref="J11:P11"/>
    <mergeCell ref="R12:R14"/>
    <mergeCell ref="J15:P15"/>
    <mergeCell ref="B16:B17"/>
    <mergeCell ref="R16:R18"/>
    <mergeCell ref="J19:P19"/>
    <mergeCell ref="J6:P6"/>
    <mergeCell ref="J43:P43"/>
    <mergeCell ref="J23:P23"/>
    <mergeCell ref="R24:R26"/>
    <mergeCell ref="J27:P27"/>
    <mergeCell ref="R28:R30"/>
    <mergeCell ref="J31:P31"/>
    <mergeCell ref="R32:R34"/>
    <mergeCell ref="J35:P35"/>
    <mergeCell ref="R36:R38"/>
    <mergeCell ref="J39:P39"/>
    <mergeCell ref="R40:R42"/>
    <mergeCell ref="O41:P41"/>
    <mergeCell ref="R44:R46"/>
    <mergeCell ref="J47:P47"/>
    <mergeCell ref="R48:R50"/>
    <mergeCell ref="J51:P51"/>
    <mergeCell ref="R52:R54"/>
    <mergeCell ref="J55:P55"/>
    <mergeCell ref="R56:R58"/>
    <mergeCell ref="J59:P59"/>
    <mergeCell ref="R60:R62"/>
    <mergeCell ref="J63:P63"/>
    <mergeCell ref="R64:R66"/>
    <mergeCell ref="J75:P75"/>
    <mergeCell ref="R76:R78"/>
    <mergeCell ref="R100:R102"/>
    <mergeCell ref="J103:P103"/>
    <mergeCell ref="R68:R70"/>
    <mergeCell ref="J71:P71"/>
    <mergeCell ref="R72:R74"/>
    <mergeCell ref="J67:P67"/>
    <mergeCell ref="R104:R106"/>
    <mergeCell ref="J79:P79"/>
    <mergeCell ref="J107:P107"/>
    <mergeCell ref="B80:B81"/>
    <mergeCell ref="R80:R82"/>
    <mergeCell ref="J83:P83"/>
    <mergeCell ref="R84:R86"/>
    <mergeCell ref="J87:P87"/>
    <mergeCell ref="R88:R90"/>
    <mergeCell ref="J91:P91"/>
    <mergeCell ref="R92:R94"/>
    <mergeCell ref="J95:P95"/>
    <mergeCell ref="R96:R98"/>
    <mergeCell ref="J99:P99"/>
    <mergeCell ref="B108:B109"/>
    <mergeCell ref="R108:R110"/>
    <mergeCell ref="J135:P135"/>
    <mergeCell ref="R112:R114"/>
    <mergeCell ref="J115:P115"/>
    <mergeCell ref="R116:R118"/>
    <mergeCell ref="J119:P119"/>
    <mergeCell ref="R120:R122"/>
    <mergeCell ref="J123:P123"/>
    <mergeCell ref="R124:R126"/>
    <mergeCell ref="J127:P127"/>
    <mergeCell ref="R128:R130"/>
    <mergeCell ref="J131:P131"/>
    <mergeCell ref="R132:R134"/>
    <mergeCell ref="J111:P111"/>
    <mergeCell ref="J159:P159"/>
    <mergeCell ref="R136:R138"/>
    <mergeCell ref="J139:P139"/>
    <mergeCell ref="R140:R142"/>
    <mergeCell ref="J143:P143"/>
    <mergeCell ref="R144:R146"/>
    <mergeCell ref="J147:P147"/>
    <mergeCell ref="R148:R150"/>
    <mergeCell ref="J151:P151"/>
    <mergeCell ref="R152:R154"/>
    <mergeCell ref="J155:P155"/>
    <mergeCell ref="R156:R158"/>
    <mergeCell ref="J183:P183"/>
    <mergeCell ref="R160:R162"/>
    <mergeCell ref="J163:P163"/>
    <mergeCell ref="R164:R166"/>
    <mergeCell ref="J167:P167"/>
    <mergeCell ref="R168:R170"/>
    <mergeCell ref="J171:P171"/>
    <mergeCell ref="R172:R174"/>
    <mergeCell ref="J175:P175"/>
    <mergeCell ref="R176:R178"/>
    <mergeCell ref="J179:P179"/>
    <mergeCell ref="R180:R182"/>
  </mergeCells>
  <phoneticPr fontId="2"/>
  <conditionalFormatting sqref="F3:F180">
    <cfRule type="expression" dxfId="165" priority="6" stopIfTrue="1">
      <formula>E3="■"</formula>
    </cfRule>
  </conditionalFormatting>
  <conditionalFormatting sqref="F183">
    <cfRule type="expression" dxfId="164" priority="2" stopIfTrue="1">
      <formula>E183="■"</formula>
    </cfRule>
  </conditionalFormatting>
  <conditionalFormatting sqref="I5">
    <cfRule type="expression" dxfId="163" priority="115" stopIfTrue="1">
      <formula>#REF!=TRUE</formula>
    </cfRule>
  </conditionalFormatting>
  <conditionalFormatting sqref="J3:J4 N3:N5 J7:J10 N7:N10 J12:J14 N12:N14 J16:J18 N16:N18 J20:J22 N20:N22 J24:J26 N24:N26 J28:J30 N28:N30 J32:J34 N32:N34 J36:J38 N36:N38 J68:J70 N68:N70 J128:J130 N128:N130 N140:N142">
    <cfRule type="expression" dxfId="162" priority="113" stopIfTrue="1">
      <formula>I3="■"</formula>
    </cfRule>
  </conditionalFormatting>
  <conditionalFormatting sqref="J40:J42">
    <cfRule type="expression" dxfId="161" priority="69" stopIfTrue="1">
      <formula>I40="■"</formula>
    </cfRule>
  </conditionalFormatting>
  <conditionalFormatting sqref="J44:J46">
    <cfRule type="expression" dxfId="160" priority="68" stopIfTrue="1">
      <formula>I44="■"</formula>
    </cfRule>
  </conditionalFormatting>
  <conditionalFormatting sqref="J48:J50">
    <cfRule type="expression" dxfId="159" priority="67" stopIfTrue="1">
      <formula>I48="■"</formula>
    </cfRule>
  </conditionalFormatting>
  <conditionalFormatting sqref="J52:J54">
    <cfRule type="expression" dxfId="158" priority="64" stopIfTrue="1">
      <formula>I52="■"</formula>
    </cfRule>
  </conditionalFormatting>
  <conditionalFormatting sqref="J56:J58">
    <cfRule type="expression" dxfId="157" priority="63" stopIfTrue="1">
      <formula>I56="■"</formula>
    </cfRule>
  </conditionalFormatting>
  <conditionalFormatting sqref="J60:J62">
    <cfRule type="expression" dxfId="156" priority="66" stopIfTrue="1">
      <formula>I60="■"</formula>
    </cfRule>
  </conditionalFormatting>
  <conditionalFormatting sqref="J64:J66">
    <cfRule type="expression" dxfId="155" priority="65" stopIfTrue="1">
      <formula>I64="■"</formula>
    </cfRule>
  </conditionalFormatting>
  <conditionalFormatting sqref="J72:J74">
    <cfRule type="expression" dxfId="154" priority="55" stopIfTrue="1">
      <formula>I72="■"</formula>
    </cfRule>
  </conditionalFormatting>
  <conditionalFormatting sqref="J76:J78">
    <cfRule type="expression" dxfId="153" priority="53" stopIfTrue="1">
      <formula>I76="■"</formula>
    </cfRule>
  </conditionalFormatting>
  <conditionalFormatting sqref="J80:J82">
    <cfRule type="expression" dxfId="152" priority="52" stopIfTrue="1">
      <formula>I80="■"</formula>
    </cfRule>
  </conditionalFormatting>
  <conditionalFormatting sqref="J84:J86">
    <cfRule type="expression" dxfId="151" priority="33" stopIfTrue="1">
      <formula>I84="■"</formula>
    </cfRule>
  </conditionalFormatting>
  <conditionalFormatting sqref="J88:J90">
    <cfRule type="expression" dxfId="150" priority="31" stopIfTrue="1">
      <formula>I88="■"</formula>
    </cfRule>
  </conditionalFormatting>
  <conditionalFormatting sqref="J92:J94">
    <cfRule type="expression" dxfId="149" priority="51" stopIfTrue="1">
      <formula>I92="■"</formula>
    </cfRule>
  </conditionalFormatting>
  <conditionalFormatting sqref="J96:J98">
    <cfRule type="expression" dxfId="148" priority="29" stopIfTrue="1">
      <formula>I96="■"</formula>
    </cfRule>
  </conditionalFormatting>
  <conditionalFormatting sqref="J100:J102">
    <cfRule type="expression" dxfId="147" priority="50" stopIfTrue="1">
      <formula>I100="■"</formula>
    </cfRule>
  </conditionalFormatting>
  <conditionalFormatting sqref="J104:J106">
    <cfRule type="expression" dxfId="146" priority="49" stopIfTrue="1">
      <formula>I104="■"</formula>
    </cfRule>
  </conditionalFormatting>
  <conditionalFormatting sqref="J108:J110">
    <cfRule type="expression" dxfId="145" priority="26" stopIfTrue="1">
      <formula>I108="■"</formula>
    </cfRule>
  </conditionalFormatting>
  <conditionalFormatting sqref="J112:J114">
    <cfRule type="expression" dxfId="144" priority="48" stopIfTrue="1">
      <formula>I112="■"</formula>
    </cfRule>
  </conditionalFormatting>
  <conditionalFormatting sqref="J116:J118">
    <cfRule type="expression" dxfId="143" priority="23" stopIfTrue="1">
      <formula>I116="■"</formula>
    </cfRule>
  </conditionalFormatting>
  <conditionalFormatting sqref="J120:J122">
    <cfRule type="expression" dxfId="142" priority="47" stopIfTrue="1">
      <formula>I120="■"</formula>
    </cfRule>
  </conditionalFormatting>
  <conditionalFormatting sqref="J124:J126">
    <cfRule type="expression" dxfId="141" priority="20" stopIfTrue="1">
      <formula>I124="■"</formula>
    </cfRule>
  </conditionalFormatting>
  <conditionalFormatting sqref="J132:J134">
    <cfRule type="expression" dxfId="140" priority="19" stopIfTrue="1">
      <formula>I132="■"</formula>
    </cfRule>
  </conditionalFormatting>
  <conditionalFormatting sqref="J136:J138">
    <cfRule type="expression" dxfId="139" priority="17" stopIfTrue="1">
      <formula>I136="■"</formula>
    </cfRule>
  </conditionalFormatting>
  <conditionalFormatting sqref="J140:J142">
    <cfRule type="expression" dxfId="138" priority="15" stopIfTrue="1">
      <formula>I140="■"</formula>
    </cfRule>
  </conditionalFormatting>
  <conditionalFormatting sqref="J144:J146">
    <cfRule type="expression" dxfId="137" priority="14" stopIfTrue="1">
      <formula>I144="■"</formula>
    </cfRule>
  </conditionalFormatting>
  <conditionalFormatting sqref="J148:J150">
    <cfRule type="expression" dxfId="136" priority="12" stopIfTrue="1">
      <formula>I148="■"</formula>
    </cfRule>
  </conditionalFormatting>
  <conditionalFormatting sqref="J152:J154">
    <cfRule type="expression" dxfId="135" priority="10" stopIfTrue="1">
      <formula>I152="■"</formula>
    </cfRule>
  </conditionalFormatting>
  <conditionalFormatting sqref="J156:J158">
    <cfRule type="expression" dxfId="134" priority="46" stopIfTrue="1">
      <formula>I156="■"</formula>
    </cfRule>
  </conditionalFormatting>
  <conditionalFormatting sqref="J160:J162">
    <cfRule type="expression" dxfId="133" priority="45" stopIfTrue="1">
      <formula>I160="■"</formula>
    </cfRule>
  </conditionalFormatting>
  <conditionalFormatting sqref="J164:J166">
    <cfRule type="expression" dxfId="132" priority="44" stopIfTrue="1">
      <formula>I164="■"</formula>
    </cfRule>
  </conditionalFormatting>
  <conditionalFormatting sqref="J168:J170">
    <cfRule type="expression" dxfId="131" priority="43" stopIfTrue="1">
      <formula>I168="■"</formula>
    </cfRule>
  </conditionalFormatting>
  <conditionalFormatting sqref="J172:J174">
    <cfRule type="expression" dxfId="130" priority="8" stopIfTrue="1">
      <formula>I172="■"</formula>
    </cfRule>
  </conditionalFormatting>
  <conditionalFormatting sqref="J176:J178">
    <cfRule type="expression" dxfId="129" priority="5" stopIfTrue="1">
      <formula>I176="■"</formula>
    </cfRule>
  </conditionalFormatting>
  <conditionalFormatting sqref="J180">
    <cfRule type="expression" dxfId="128" priority="4" stopIfTrue="1">
      <formula>I180="■"</formula>
    </cfRule>
  </conditionalFormatting>
  <conditionalFormatting sqref="J6:P6">
    <cfRule type="cellIs" dxfId="127" priority="1" stopIfTrue="1" operator="notEqual">
      <formula>""</formula>
    </cfRule>
  </conditionalFormatting>
  <conditionalFormatting sqref="J11:P11">
    <cfRule type="cellIs" dxfId="126" priority="86" stopIfTrue="1" operator="notEqual">
      <formula>""</formula>
    </cfRule>
  </conditionalFormatting>
  <conditionalFormatting sqref="J15:P15">
    <cfRule type="cellIs" dxfId="125" priority="85" stopIfTrue="1" operator="notEqual">
      <formula>""</formula>
    </cfRule>
  </conditionalFormatting>
  <conditionalFormatting sqref="J19:P19">
    <cfRule type="cellIs" dxfId="124" priority="84" stopIfTrue="1" operator="notEqual">
      <formula>""</formula>
    </cfRule>
  </conditionalFormatting>
  <conditionalFormatting sqref="J23:P23 J87:P87">
    <cfRule type="cellIs" dxfId="123" priority="114" stopIfTrue="1" operator="notEqual">
      <formula>""</formula>
    </cfRule>
  </conditionalFormatting>
  <conditionalFormatting sqref="J27:P27">
    <cfRule type="cellIs" dxfId="122" priority="83" stopIfTrue="1" operator="notEqual">
      <formula>""</formula>
    </cfRule>
  </conditionalFormatting>
  <conditionalFormatting sqref="J31:P31">
    <cfRule type="cellIs" dxfId="121" priority="82" stopIfTrue="1" operator="notEqual">
      <formula>""</formula>
    </cfRule>
  </conditionalFormatting>
  <conditionalFormatting sqref="J35:P35">
    <cfRule type="cellIs" dxfId="120" priority="80" stopIfTrue="1" operator="notEqual">
      <formula>""</formula>
    </cfRule>
  </conditionalFormatting>
  <conditionalFormatting sqref="J39:P39">
    <cfRule type="cellIs" dxfId="119" priority="81" stopIfTrue="1" operator="notEqual">
      <formula>""</formula>
    </cfRule>
  </conditionalFormatting>
  <conditionalFormatting sqref="J43:P43">
    <cfRule type="cellIs" dxfId="118" priority="79" stopIfTrue="1" operator="notEqual">
      <formula>""</formula>
    </cfRule>
  </conditionalFormatting>
  <conditionalFormatting sqref="J47:P47">
    <cfRule type="cellIs" dxfId="117" priority="78" stopIfTrue="1" operator="notEqual">
      <formula>""</formula>
    </cfRule>
  </conditionalFormatting>
  <conditionalFormatting sqref="J51:P51">
    <cfRule type="cellIs" dxfId="116" priority="77" stopIfTrue="1" operator="notEqual">
      <formula>""</formula>
    </cfRule>
  </conditionalFormatting>
  <conditionalFormatting sqref="J55:P55">
    <cfRule type="cellIs" dxfId="115" priority="76" stopIfTrue="1" operator="notEqual">
      <formula>""</formula>
    </cfRule>
  </conditionalFormatting>
  <conditionalFormatting sqref="J59:P59">
    <cfRule type="cellIs" dxfId="114" priority="75" stopIfTrue="1" operator="notEqual">
      <formula>""</formula>
    </cfRule>
  </conditionalFormatting>
  <conditionalFormatting sqref="J63:P63">
    <cfRule type="cellIs" dxfId="113" priority="74" stopIfTrue="1" operator="notEqual">
      <formula>""</formula>
    </cfRule>
  </conditionalFormatting>
  <conditionalFormatting sqref="J67:P67">
    <cfRule type="cellIs" dxfId="112" priority="73" stopIfTrue="1" operator="notEqual">
      <formula>""</formula>
    </cfRule>
  </conditionalFormatting>
  <conditionalFormatting sqref="J71:P71">
    <cfRule type="cellIs" dxfId="111" priority="72" stopIfTrue="1" operator="notEqual">
      <formula>""</formula>
    </cfRule>
  </conditionalFormatting>
  <conditionalFormatting sqref="J75:P75">
    <cfRule type="cellIs" dxfId="110" priority="71" stopIfTrue="1" operator="notEqual">
      <formula>""</formula>
    </cfRule>
  </conditionalFormatting>
  <conditionalFormatting sqref="J79:P79">
    <cfRule type="cellIs" dxfId="109" priority="70" stopIfTrue="1" operator="notEqual">
      <formula>""</formula>
    </cfRule>
  </conditionalFormatting>
  <conditionalFormatting sqref="J83:P83">
    <cfRule type="cellIs" dxfId="108" priority="111" stopIfTrue="1" operator="notEqual">
      <formula>""</formula>
    </cfRule>
  </conditionalFormatting>
  <conditionalFormatting sqref="J91:P91">
    <cfRule type="cellIs" dxfId="107" priority="110" stopIfTrue="1" operator="notEqual">
      <formula>""</formula>
    </cfRule>
  </conditionalFormatting>
  <conditionalFormatting sqref="J95:P95">
    <cfRule type="cellIs" dxfId="106" priority="109" stopIfTrue="1" operator="notEqual">
      <formula>""</formula>
    </cfRule>
  </conditionalFormatting>
  <conditionalFormatting sqref="J99:P99">
    <cfRule type="cellIs" dxfId="105" priority="108" stopIfTrue="1" operator="notEqual">
      <formula>""</formula>
    </cfRule>
  </conditionalFormatting>
  <conditionalFormatting sqref="J103:P103">
    <cfRule type="cellIs" dxfId="104" priority="107" stopIfTrue="1" operator="notEqual">
      <formula>""</formula>
    </cfRule>
  </conditionalFormatting>
  <conditionalFormatting sqref="J107:P107">
    <cfRule type="cellIs" dxfId="103" priority="106" stopIfTrue="1" operator="notEqual">
      <formula>""</formula>
    </cfRule>
  </conditionalFormatting>
  <conditionalFormatting sqref="J111:P111">
    <cfRule type="cellIs" dxfId="102" priority="105" stopIfTrue="1" operator="notEqual">
      <formula>""</formula>
    </cfRule>
  </conditionalFormatting>
  <conditionalFormatting sqref="J115:P115">
    <cfRule type="cellIs" dxfId="101" priority="104" stopIfTrue="1" operator="notEqual">
      <formula>""</formula>
    </cfRule>
  </conditionalFormatting>
  <conditionalFormatting sqref="J119:P119">
    <cfRule type="cellIs" dxfId="100" priority="103" stopIfTrue="1" operator="notEqual">
      <formula>""</formula>
    </cfRule>
  </conditionalFormatting>
  <conditionalFormatting sqref="J123:P123">
    <cfRule type="cellIs" dxfId="99" priority="102" stopIfTrue="1" operator="notEqual">
      <formula>""</formula>
    </cfRule>
  </conditionalFormatting>
  <conditionalFormatting sqref="J127:P127">
    <cfRule type="cellIs" dxfId="98" priority="101" stopIfTrue="1" operator="notEqual">
      <formula>""</formula>
    </cfRule>
  </conditionalFormatting>
  <conditionalFormatting sqref="J131:P131">
    <cfRule type="cellIs" dxfId="97" priority="100" stopIfTrue="1" operator="notEqual">
      <formula>""</formula>
    </cfRule>
  </conditionalFormatting>
  <conditionalFormatting sqref="J135:P135">
    <cfRule type="cellIs" dxfId="96" priority="99" stopIfTrue="1" operator="notEqual">
      <formula>""</formula>
    </cfRule>
  </conditionalFormatting>
  <conditionalFormatting sqref="J139:P139">
    <cfRule type="cellIs" dxfId="95" priority="98" stopIfTrue="1" operator="notEqual">
      <formula>""</formula>
    </cfRule>
  </conditionalFormatting>
  <conditionalFormatting sqref="J143:P143">
    <cfRule type="cellIs" dxfId="94" priority="97" stopIfTrue="1" operator="notEqual">
      <formula>""</formula>
    </cfRule>
  </conditionalFormatting>
  <conditionalFormatting sqref="J147:P147">
    <cfRule type="cellIs" dxfId="93" priority="96" stopIfTrue="1" operator="notEqual">
      <formula>""</formula>
    </cfRule>
  </conditionalFormatting>
  <conditionalFormatting sqref="J151:P151">
    <cfRule type="cellIs" dxfId="92" priority="95" stopIfTrue="1" operator="notEqual">
      <formula>""</formula>
    </cfRule>
  </conditionalFormatting>
  <conditionalFormatting sqref="J155:P155">
    <cfRule type="cellIs" dxfId="91" priority="94" stopIfTrue="1" operator="notEqual">
      <formula>""</formula>
    </cfRule>
  </conditionalFormatting>
  <conditionalFormatting sqref="J159:P159">
    <cfRule type="cellIs" dxfId="90" priority="93" stopIfTrue="1" operator="notEqual">
      <formula>""</formula>
    </cfRule>
  </conditionalFormatting>
  <conditionalFormatting sqref="J163:P163">
    <cfRule type="cellIs" dxfId="89" priority="92" stopIfTrue="1" operator="notEqual">
      <formula>""</formula>
    </cfRule>
  </conditionalFormatting>
  <conditionalFormatting sqref="J167:P167">
    <cfRule type="cellIs" dxfId="88" priority="91" stopIfTrue="1" operator="notEqual">
      <formula>""</formula>
    </cfRule>
  </conditionalFormatting>
  <conditionalFormatting sqref="J171:P171">
    <cfRule type="cellIs" dxfId="87" priority="90" stopIfTrue="1" operator="notEqual">
      <formula>""</formula>
    </cfRule>
  </conditionalFormatting>
  <conditionalFormatting sqref="J175:P175">
    <cfRule type="cellIs" dxfId="86" priority="89" stopIfTrue="1" operator="notEqual">
      <formula>""</formula>
    </cfRule>
  </conditionalFormatting>
  <conditionalFormatting sqref="J179:P179">
    <cfRule type="cellIs" dxfId="85" priority="88" stopIfTrue="1" operator="notEqual">
      <formula>""</formula>
    </cfRule>
  </conditionalFormatting>
  <conditionalFormatting sqref="J183:P183">
    <cfRule type="cellIs" dxfId="84" priority="87" stopIfTrue="1" operator="notEqual">
      <formula>""</formula>
    </cfRule>
  </conditionalFormatting>
  <conditionalFormatting sqref="N40:N42">
    <cfRule type="expression" dxfId="83" priority="57" stopIfTrue="1">
      <formula>M40="■"</formula>
    </cfRule>
  </conditionalFormatting>
  <conditionalFormatting sqref="N44:N46">
    <cfRule type="expression" dxfId="82" priority="62" stopIfTrue="1">
      <formula>M44="■"</formula>
    </cfRule>
  </conditionalFormatting>
  <conditionalFormatting sqref="N48:N50">
    <cfRule type="expression" dxfId="81" priority="61" stopIfTrue="1">
      <formula>M48="■"</formula>
    </cfRule>
  </conditionalFormatting>
  <conditionalFormatting sqref="N52:N54">
    <cfRule type="expression" dxfId="80" priority="56" stopIfTrue="1">
      <formula>M52="■"</formula>
    </cfRule>
  </conditionalFormatting>
  <conditionalFormatting sqref="N56:N58">
    <cfRule type="expression" dxfId="79" priority="58" stopIfTrue="1">
      <formula>M56="■"</formula>
    </cfRule>
  </conditionalFormatting>
  <conditionalFormatting sqref="N60:N62">
    <cfRule type="expression" dxfId="78" priority="60" stopIfTrue="1">
      <formula>M60="■"</formula>
    </cfRule>
  </conditionalFormatting>
  <conditionalFormatting sqref="N64:N66">
    <cfRule type="expression" dxfId="77" priority="59" stopIfTrue="1">
      <formula>M64="■"</formula>
    </cfRule>
  </conditionalFormatting>
  <conditionalFormatting sqref="N72:N74">
    <cfRule type="expression" dxfId="76" priority="54" stopIfTrue="1">
      <formula>M72="■"</formula>
    </cfRule>
  </conditionalFormatting>
  <conditionalFormatting sqref="N76:N78">
    <cfRule type="expression" dxfId="75" priority="42" stopIfTrue="1">
      <formula>M76="■"</formula>
    </cfRule>
  </conditionalFormatting>
  <conditionalFormatting sqref="N80:N82">
    <cfRule type="expression" dxfId="74" priority="41" stopIfTrue="1">
      <formula>M80="■"</formula>
    </cfRule>
  </conditionalFormatting>
  <conditionalFormatting sqref="N84:N86">
    <cfRule type="expression" dxfId="73" priority="32" stopIfTrue="1">
      <formula>M84="■"</formula>
    </cfRule>
  </conditionalFormatting>
  <conditionalFormatting sqref="N88:N90">
    <cfRule type="expression" dxfId="72" priority="30" stopIfTrue="1">
      <formula>M88="■"</formula>
    </cfRule>
  </conditionalFormatting>
  <conditionalFormatting sqref="N92:N94">
    <cfRule type="expression" dxfId="71" priority="40" stopIfTrue="1">
      <formula>M92="■"</formula>
    </cfRule>
  </conditionalFormatting>
  <conditionalFormatting sqref="N96:N98">
    <cfRule type="expression" dxfId="70" priority="28" stopIfTrue="1">
      <formula>M96="■"</formula>
    </cfRule>
  </conditionalFormatting>
  <conditionalFormatting sqref="N100:N102">
    <cfRule type="expression" dxfId="69" priority="27" stopIfTrue="1">
      <formula>M100="■"</formula>
    </cfRule>
  </conditionalFormatting>
  <conditionalFormatting sqref="N104:N106">
    <cfRule type="expression" dxfId="68" priority="39" stopIfTrue="1">
      <formula>M104="■"</formula>
    </cfRule>
  </conditionalFormatting>
  <conditionalFormatting sqref="N108:N110">
    <cfRule type="expression" dxfId="67" priority="25" stopIfTrue="1">
      <formula>M108="■"</formula>
    </cfRule>
  </conditionalFormatting>
  <conditionalFormatting sqref="N112:N114">
    <cfRule type="expression" dxfId="66" priority="24" stopIfTrue="1">
      <formula>M112="■"</formula>
    </cfRule>
  </conditionalFormatting>
  <conditionalFormatting sqref="N116:N118">
    <cfRule type="expression" dxfId="65" priority="22" stopIfTrue="1">
      <formula>M116="■"</formula>
    </cfRule>
  </conditionalFormatting>
  <conditionalFormatting sqref="N120:N122">
    <cfRule type="expression" dxfId="64" priority="38" stopIfTrue="1">
      <formula>M120="■"</formula>
    </cfRule>
  </conditionalFormatting>
  <conditionalFormatting sqref="N124:N126">
    <cfRule type="expression" dxfId="63" priority="21" stopIfTrue="1">
      <formula>M124="■"</formula>
    </cfRule>
  </conditionalFormatting>
  <conditionalFormatting sqref="N132:N134">
    <cfRule type="expression" dxfId="62" priority="18" stopIfTrue="1">
      <formula>M132="■"</formula>
    </cfRule>
  </conditionalFormatting>
  <conditionalFormatting sqref="N136:N138">
    <cfRule type="expression" dxfId="61" priority="16" stopIfTrue="1">
      <formula>M136="■"</formula>
    </cfRule>
  </conditionalFormatting>
  <conditionalFormatting sqref="N144:N146">
    <cfRule type="expression" dxfId="60" priority="13" stopIfTrue="1">
      <formula>M144="■"</formula>
    </cfRule>
  </conditionalFormatting>
  <conditionalFormatting sqref="N148:N150">
    <cfRule type="expression" dxfId="59" priority="11" stopIfTrue="1">
      <formula>M148="■"</formula>
    </cfRule>
  </conditionalFormatting>
  <conditionalFormatting sqref="N152:N154">
    <cfRule type="expression" dxfId="58" priority="9" stopIfTrue="1">
      <formula>M152="■"</formula>
    </cfRule>
  </conditionalFormatting>
  <conditionalFormatting sqref="N156:N158">
    <cfRule type="expression" dxfId="57" priority="37" stopIfTrue="1">
      <formula>M156="■"</formula>
    </cfRule>
  </conditionalFormatting>
  <conditionalFormatting sqref="N160:N162">
    <cfRule type="expression" dxfId="56" priority="36" stopIfTrue="1">
      <formula>M160="■"</formula>
    </cfRule>
  </conditionalFormatting>
  <conditionalFormatting sqref="N164:N166">
    <cfRule type="expression" dxfId="55" priority="35" stopIfTrue="1">
      <formula>M164="■"</formula>
    </cfRule>
  </conditionalFormatting>
  <conditionalFormatting sqref="N168:N170">
    <cfRule type="expression" dxfId="54" priority="34" stopIfTrue="1">
      <formula>M168="■"</formula>
    </cfRule>
  </conditionalFormatting>
  <conditionalFormatting sqref="N172:N174">
    <cfRule type="expression" dxfId="53" priority="7" stopIfTrue="1">
      <formula>M172="■"</formula>
    </cfRule>
  </conditionalFormatting>
  <conditionalFormatting sqref="N176:N178">
    <cfRule type="expression" dxfId="52" priority="3" stopIfTrue="1">
      <formula>M176="■"</formula>
    </cfRule>
  </conditionalFormatting>
  <conditionalFormatting sqref="N180:N182 F181:F182 J181:J182">
    <cfRule type="expression" dxfId="51" priority="112" stopIfTrue="1">
      <formula>E180=TRUE</formula>
    </cfRule>
  </conditionalFormatting>
  <dataValidations count="2">
    <dataValidation type="list" allowBlank="1" showInputMessage="1" showErrorMessage="1" sqref="E3:E4 I168:I170 M100:M101 I140 I176 M72:M73 E179:E180 I180 M152:M153 M172 I152:I153 M168:M170 M160:M162 E155:E173 M104:M106 E143:E149 E135:E137 I144:I145 E175:E176 I148 M136 M132:M133 E119:E125 M124 M112:M113 I136:I137 I124:I125 I128 M148 M120:M122 E127:E128 M96:M97 I116:I117 E87:E89 I100:I102 I112:I114 M108:M109 I96:I97 E91:E117 I108:I109 M88:M89 M92:M94 I84:I85 I76:I78 E183 M80:M82 M36:M38 I88:I89 E59:E73 E131:E133 I160:I162 I72:I73 E75:E85 E35:E53 M64:M65 M60:M62 I60:I62 I40:I42 E31:E32 E55:E57 M48:M50 M40:M41 I56:I57 I28 M156:M158 I156:I158 I120:I122 I104:I106 M116 E151:E153 I92:I94 M76:M78 I80:I82 M68:M70 M144:M145 I48:I50 M44:M46 I44:I46 I36:I38 I68:I70 I132:I133 E139:E140 M84:M85 I164:I166 I64:I66 I32 M56:M57 I24:I25 I20:I22 E27:E28 I52:I53 M24 M16 E19:E25 I16:I17 M20:M22 I12:I14 E6:E17 M3 M7:M9 M176 I7:I9 M12:M14 I3:I4 M164:M166 M52 I172:I173" xr:uid="{D54EA803-F81F-4F3A-804E-416C0D59560F}">
      <formula1>$W$1:$W$2</formula1>
    </dataValidation>
    <dataValidation imeMode="on" allowBlank="1" showInputMessage="1" showErrorMessage="1" sqref="J79:P79 J179:P179 J67:P67 J11:P11 J19:P19 J15:P15 J23:P23 J27:P27 J39:P39 J31:P31 J35:P35 J43:P43 J47:P47 J51:P51 J55:P55 J59:P59 J183:P183 J63:P63 J71:P71 J75:P75 J87:P87 J83:P83 J91:P91 J95:P95 J99:P99 J103:P103 J107:P107 J111:P111 J115:P115 J119:P119 J123:P123 J127:P127 J131:P131 J135:P135 J139:P139 J143:P143 J147:P147 J151:P151 J155:P155 J159:P159 J163:P163 J167:P167 J171:P171 J175:P175 J6:P6" xr:uid="{99CA104A-EB71-4ECD-BA83-F160772B1F6E}"/>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rowBreaks count="2" manualBreakCount="2">
    <brk id="67" max="16" man="1"/>
    <brk id="12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49F7-E9A5-4F95-B274-F125999BD44E}">
  <dimension ref="A1:W59"/>
  <sheetViews>
    <sheetView showGridLines="0" view="pageBreakPreview" topLeftCell="A4" zoomScaleNormal="100" zoomScaleSheetLayoutView="100" workbookViewId="0">
      <selection activeCell="J54" sqref="J54:P54"/>
    </sheetView>
  </sheetViews>
  <sheetFormatPr defaultColWidth="9" defaultRowHeight="13.5"/>
  <cols>
    <col min="1" max="1" width="2.75" style="271" customWidth="1"/>
    <col min="2" max="2" width="13.875" style="286" customWidth="1"/>
    <col min="3" max="3" width="2.875" style="213" customWidth="1"/>
    <col min="4" max="4" width="16.875" style="286" customWidth="1"/>
    <col min="5" max="5" width="2.75" style="213" customWidth="1"/>
    <col min="6" max="6" width="2.875" style="271" customWidth="1"/>
    <col min="7" max="7" width="16.125" style="286" customWidth="1"/>
    <col min="8" max="8" width="1.375" style="213" customWidth="1"/>
    <col min="9" max="9" width="2.875" style="213" customWidth="1"/>
    <col min="10" max="10" width="3" style="248" customWidth="1"/>
    <col min="11" max="11" width="16.125" style="287" customWidth="1"/>
    <col min="12" max="12" width="1.375" style="288" customWidth="1"/>
    <col min="13" max="13" width="2.875" style="288" customWidth="1"/>
    <col min="14" max="14" width="3" style="248" customWidth="1"/>
    <col min="15" max="15" width="16.125" style="287" customWidth="1"/>
    <col min="16" max="16" width="1.25" style="288" customWidth="1"/>
    <col min="17" max="17" width="1.25" style="286" customWidth="1"/>
    <col min="18" max="19" width="6.625" style="271" customWidth="1"/>
    <col min="20" max="20" width="7.25" style="297" customWidth="1"/>
    <col min="21" max="22" width="7.25" style="290" customWidth="1"/>
    <col min="23" max="23" width="0" style="243" hidden="1" customWidth="1"/>
    <col min="24" max="16384" width="9" style="213"/>
  </cols>
  <sheetData>
    <row r="1" spans="1:23">
      <c r="A1" s="202" t="s">
        <v>179</v>
      </c>
      <c r="B1" s="203"/>
      <c r="C1" s="204" t="s">
        <v>186</v>
      </c>
      <c r="D1" s="203"/>
      <c r="E1" s="205"/>
      <c r="F1" s="206"/>
      <c r="G1" s="207"/>
      <c r="H1" s="205"/>
      <c r="I1" s="205"/>
      <c r="J1" s="208"/>
      <c r="K1" s="209"/>
      <c r="L1" s="210"/>
      <c r="M1" s="210"/>
      <c r="N1" s="208"/>
      <c r="O1" s="209"/>
      <c r="P1" s="210"/>
      <c r="Q1" s="211"/>
      <c r="R1" s="212"/>
      <c r="S1" s="213"/>
      <c r="T1" s="290"/>
      <c r="W1" s="214" t="s">
        <v>636</v>
      </c>
    </row>
    <row r="2" spans="1:23" ht="24.75" customHeight="1" thickBot="1">
      <c r="A2" s="215" t="s">
        <v>508</v>
      </c>
      <c r="B2" s="216" t="s">
        <v>15</v>
      </c>
      <c r="C2" s="217" t="s">
        <v>508</v>
      </c>
      <c r="D2" s="218" t="s">
        <v>15</v>
      </c>
      <c r="E2" s="187" t="s">
        <v>709</v>
      </c>
      <c r="F2" s="219"/>
      <c r="G2" s="220"/>
      <c r="H2" s="221"/>
      <c r="I2" s="221"/>
      <c r="J2" s="222"/>
      <c r="K2" s="223"/>
      <c r="L2" s="224"/>
      <c r="M2" s="224"/>
      <c r="N2" s="222"/>
      <c r="O2" s="223"/>
      <c r="P2" s="224"/>
      <c r="Q2" s="225"/>
      <c r="R2" s="226"/>
      <c r="S2" s="227"/>
      <c r="T2" s="289" t="s">
        <v>613</v>
      </c>
      <c r="W2" s="214" t="s">
        <v>637</v>
      </c>
    </row>
    <row r="3" spans="1:23" ht="13.5" customHeight="1">
      <c r="A3" s="228">
        <v>10</v>
      </c>
      <c r="B3" s="569" t="s">
        <v>700</v>
      </c>
      <c r="C3" s="229">
        <v>1</v>
      </c>
      <c r="D3" s="230" t="s">
        <v>701</v>
      </c>
      <c r="E3" s="194" t="s">
        <v>638</v>
      </c>
      <c r="F3" s="231">
        <v>1</v>
      </c>
      <c r="G3" s="268" t="s">
        <v>702</v>
      </c>
      <c r="H3" s="227"/>
      <c r="I3" s="198" t="s">
        <v>638</v>
      </c>
      <c r="J3" s="233">
        <v>2</v>
      </c>
      <c r="K3" s="272" t="s">
        <v>217</v>
      </c>
      <c r="L3" s="235"/>
      <c r="M3" s="198" t="s">
        <v>638</v>
      </c>
      <c r="N3" s="233">
        <v>3</v>
      </c>
      <c r="O3" s="272" t="s">
        <v>703</v>
      </c>
      <c r="P3" s="235"/>
      <c r="Q3" s="236"/>
      <c r="R3" s="565"/>
      <c r="S3" s="237"/>
      <c r="T3" s="291" t="str">
        <f>IF(E3="■","010101","")</f>
        <v/>
      </c>
      <c r="U3" s="292" t="str">
        <f>IF(I3="■","010102","")</f>
        <v/>
      </c>
      <c r="V3" s="298" t="str">
        <f>IF(M3="■","010103","")</f>
        <v/>
      </c>
      <c r="W3" s="238"/>
    </row>
    <row r="4" spans="1:23">
      <c r="A4" s="239"/>
      <c r="B4" s="569"/>
      <c r="C4" s="240"/>
      <c r="D4" s="230"/>
      <c r="E4" s="194" t="s">
        <v>638</v>
      </c>
      <c r="F4" s="241">
        <v>4</v>
      </c>
      <c r="G4" s="268" t="s">
        <v>704</v>
      </c>
      <c r="H4" s="227"/>
      <c r="I4" s="195" t="s">
        <v>638</v>
      </c>
      <c r="J4" s="233">
        <v>5</v>
      </c>
      <c r="K4" s="272" t="s">
        <v>705</v>
      </c>
      <c r="L4" s="235"/>
      <c r="M4" s="195"/>
      <c r="N4" s="233"/>
      <c r="O4" s="234"/>
      <c r="P4" s="235"/>
      <c r="Q4" s="236"/>
      <c r="R4" s="565"/>
      <c r="S4" s="241"/>
      <c r="T4" s="293" t="str">
        <f>IF(E4="■","010104","")</f>
        <v/>
      </c>
      <c r="U4" s="294" t="str">
        <f>IF(I4="■","010105","")</f>
        <v/>
      </c>
      <c r="V4" s="299"/>
    </row>
    <row r="5" spans="1:23">
      <c r="A5" s="244"/>
      <c r="B5" s="245"/>
      <c r="C5" s="240"/>
      <c r="D5" s="246"/>
      <c r="E5" s="196"/>
      <c r="F5" s="241"/>
      <c r="G5" s="232"/>
      <c r="H5" s="227"/>
      <c r="I5" s="247"/>
      <c r="K5" s="234"/>
      <c r="L5" s="235"/>
      <c r="M5" s="249"/>
      <c r="N5" s="233"/>
      <c r="O5" s="234"/>
      <c r="P5" s="235"/>
      <c r="Q5" s="236"/>
      <c r="R5" s="565"/>
      <c r="S5" s="241"/>
      <c r="T5" s="293"/>
      <c r="U5" s="294"/>
      <c r="V5" s="299"/>
    </row>
    <row r="6" spans="1:23">
      <c r="A6" s="244"/>
      <c r="B6" s="245"/>
      <c r="C6" s="250"/>
      <c r="D6" s="251"/>
      <c r="E6" s="199" t="s">
        <v>638</v>
      </c>
      <c r="F6" s="252">
        <v>99</v>
      </c>
      <c r="G6" s="274" t="s">
        <v>706</v>
      </c>
      <c r="H6" s="253"/>
      <c r="I6" s="254" t="s">
        <v>16</v>
      </c>
      <c r="J6" s="566"/>
      <c r="K6" s="566"/>
      <c r="L6" s="566"/>
      <c r="M6" s="566"/>
      <c r="N6" s="566"/>
      <c r="O6" s="566"/>
      <c r="P6" s="566"/>
      <c r="Q6" s="255" t="s">
        <v>17</v>
      </c>
      <c r="R6" s="256" t="str">
        <f>IF(E6="■","←必須","")</f>
        <v/>
      </c>
      <c r="S6" s="570"/>
      <c r="T6" s="295" t="str">
        <f>IF(E6="■","010199","")</f>
        <v/>
      </c>
      <c r="U6" s="296"/>
      <c r="V6" s="300"/>
    </row>
    <row r="7" spans="1:23">
      <c r="A7" s="244"/>
      <c r="B7" s="257"/>
      <c r="C7" s="258">
        <v>2</v>
      </c>
      <c r="D7" s="259" t="s">
        <v>707</v>
      </c>
      <c r="E7" s="194" t="s">
        <v>638</v>
      </c>
      <c r="F7" s="260">
        <v>1</v>
      </c>
      <c r="G7" s="261" t="s">
        <v>710</v>
      </c>
      <c r="H7" s="262"/>
      <c r="I7" s="200" t="s">
        <v>638</v>
      </c>
      <c r="J7" s="263">
        <v>2</v>
      </c>
      <c r="K7" s="284" t="s">
        <v>711</v>
      </c>
      <c r="L7" s="265"/>
      <c r="M7" s="200" t="s">
        <v>638</v>
      </c>
      <c r="N7" s="263">
        <v>3</v>
      </c>
      <c r="O7" s="284" t="s">
        <v>712</v>
      </c>
      <c r="P7" s="265"/>
      <c r="Q7" s="267"/>
      <c r="R7" s="571"/>
      <c r="S7" s="570"/>
      <c r="T7" s="291" t="str">
        <f>IF(E7="■","010201","")</f>
        <v/>
      </c>
      <c r="U7" s="292" t="str">
        <f>IF(I7="■","010202","")</f>
        <v/>
      </c>
      <c r="V7" s="298" t="str">
        <f>IF(M7="■","010203","")</f>
        <v/>
      </c>
      <c r="W7" s="214"/>
    </row>
    <row r="8" spans="1:23">
      <c r="A8" s="244"/>
      <c r="B8" s="257"/>
      <c r="C8" s="240"/>
      <c r="D8" s="230" t="s">
        <v>708</v>
      </c>
      <c r="E8" s="194" t="s">
        <v>638</v>
      </c>
      <c r="F8" s="241">
        <v>4</v>
      </c>
      <c r="G8" s="268" t="s">
        <v>713</v>
      </c>
      <c r="H8" s="227"/>
      <c r="I8" s="195"/>
      <c r="J8" s="233"/>
      <c r="K8" s="234"/>
      <c r="L8" s="235"/>
      <c r="M8" s="195"/>
      <c r="N8" s="233"/>
      <c r="O8" s="234"/>
      <c r="P8" s="235"/>
      <c r="Q8" s="236"/>
      <c r="R8" s="571"/>
      <c r="S8" s="241"/>
      <c r="T8" s="293" t="str">
        <f>IF(E8="■","010204","")</f>
        <v/>
      </c>
      <c r="U8" s="294" t="str">
        <f>IF(I8="■","010205","")</f>
        <v/>
      </c>
      <c r="V8" s="299" t="str">
        <f>IF(M8="■","010206","")</f>
        <v/>
      </c>
    </row>
    <row r="9" spans="1:23">
      <c r="A9" s="244"/>
      <c r="B9" s="245"/>
      <c r="C9" s="240"/>
      <c r="D9" s="246"/>
      <c r="E9" s="194"/>
      <c r="F9" s="241"/>
      <c r="G9" s="268"/>
      <c r="H9" s="227"/>
      <c r="I9" s="269"/>
      <c r="J9" s="233"/>
      <c r="K9" s="234"/>
      <c r="L9" s="235"/>
      <c r="M9" s="249"/>
      <c r="N9" s="233"/>
      <c r="O9" s="234"/>
      <c r="P9" s="235"/>
      <c r="Q9" s="236"/>
      <c r="R9" s="571"/>
      <c r="S9" s="241"/>
      <c r="T9" s="293" t="str">
        <f>IF(E9="■","010210","")</f>
        <v/>
      </c>
      <c r="U9" s="294"/>
      <c r="V9" s="299"/>
    </row>
    <row r="10" spans="1:23">
      <c r="A10" s="244"/>
      <c r="B10" s="245"/>
      <c r="C10" s="250"/>
      <c r="D10" s="251"/>
      <c r="E10" s="199" t="s">
        <v>638</v>
      </c>
      <c r="F10" s="252">
        <v>99</v>
      </c>
      <c r="G10" s="274" t="s">
        <v>714</v>
      </c>
      <c r="H10" s="253"/>
      <c r="I10" s="254" t="s">
        <v>16</v>
      </c>
      <c r="J10" s="566"/>
      <c r="K10" s="566"/>
      <c r="L10" s="566"/>
      <c r="M10" s="566"/>
      <c r="N10" s="566"/>
      <c r="O10" s="566"/>
      <c r="P10" s="566"/>
      <c r="Q10" s="255" t="s">
        <v>17</v>
      </c>
      <c r="R10" s="256" t="str">
        <f>IF(E10="■","←必須","")</f>
        <v/>
      </c>
      <c r="S10" s="270"/>
      <c r="T10" s="295" t="str">
        <f>IF(E10="■","010299","")</f>
        <v/>
      </c>
      <c r="U10" s="296"/>
      <c r="V10" s="300"/>
    </row>
    <row r="11" spans="1:23">
      <c r="A11" s="239"/>
      <c r="B11" s="188"/>
      <c r="C11" s="258">
        <v>3</v>
      </c>
      <c r="D11" s="259" t="s">
        <v>798</v>
      </c>
      <c r="E11" s="194" t="s">
        <v>638</v>
      </c>
      <c r="F11" s="260">
        <v>1</v>
      </c>
      <c r="G11" s="261" t="s">
        <v>799</v>
      </c>
      <c r="H11" s="262"/>
      <c r="I11" s="200" t="s">
        <v>638</v>
      </c>
      <c r="J11" s="263">
        <v>2</v>
      </c>
      <c r="K11" s="284" t="s">
        <v>800</v>
      </c>
      <c r="L11" s="265"/>
      <c r="M11" s="200" t="s">
        <v>638</v>
      </c>
      <c r="N11" s="263">
        <v>3</v>
      </c>
      <c r="O11" s="284" t="s">
        <v>801</v>
      </c>
      <c r="P11" s="265"/>
      <c r="Q11" s="267"/>
      <c r="R11" s="565"/>
      <c r="S11" s="319"/>
      <c r="T11" s="293" t="str">
        <f>IF(E11="■","020101","")</f>
        <v/>
      </c>
      <c r="U11" s="294" t="str">
        <f>IF(I11="■","020102","")</f>
        <v/>
      </c>
      <c r="V11" s="299" t="str">
        <f>IF(M11="■","020103","")</f>
        <v/>
      </c>
    </row>
    <row r="12" spans="1:23">
      <c r="A12" s="244"/>
      <c r="B12" s="257"/>
      <c r="C12" s="240"/>
      <c r="D12" s="230"/>
      <c r="E12" s="194" t="s">
        <v>638</v>
      </c>
      <c r="F12" s="241">
        <v>4</v>
      </c>
      <c r="G12" s="268" t="s">
        <v>802</v>
      </c>
      <c r="H12" s="227"/>
      <c r="I12" s="195"/>
      <c r="J12" s="233"/>
      <c r="K12" s="320"/>
      <c r="L12" s="235"/>
      <c r="M12" s="195"/>
      <c r="N12" s="233"/>
      <c r="O12" s="320"/>
      <c r="P12" s="235"/>
      <c r="Q12" s="236"/>
      <c r="R12" s="565"/>
      <c r="T12" s="293" t="str">
        <f>IF(E12="■","020104","")</f>
        <v/>
      </c>
      <c r="U12" s="294" t="str">
        <f>IF(I12="■","020105","")</f>
        <v/>
      </c>
      <c r="V12" s="299" t="str">
        <f>IF(M12="■","020106","")</f>
        <v/>
      </c>
    </row>
    <row r="13" spans="1:23">
      <c r="A13" s="244"/>
      <c r="B13" s="245"/>
      <c r="C13" s="240"/>
      <c r="D13" s="246"/>
      <c r="E13" s="194"/>
      <c r="F13" s="241"/>
      <c r="G13" s="232"/>
      <c r="H13" s="227"/>
      <c r="I13" s="195"/>
      <c r="J13" s="233"/>
      <c r="K13" s="234"/>
      <c r="L13" s="235"/>
      <c r="M13" s="195"/>
      <c r="N13" s="233"/>
      <c r="O13" s="320"/>
      <c r="P13" s="235"/>
      <c r="Q13" s="236"/>
      <c r="R13" s="317"/>
      <c r="T13" s="293"/>
      <c r="U13" s="294"/>
      <c r="V13" s="299"/>
    </row>
    <row r="14" spans="1:23" ht="14.25" customHeight="1">
      <c r="A14" s="244"/>
      <c r="B14" s="246"/>
      <c r="C14" s="250"/>
      <c r="D14" s="251"/>
      <c r="E14" s="199" t="s">
        <v>638</v>
      </c>
      <c r="F14" s="252">
        <v>99</v>
      </c>
      <c r="G14" s="274" t="s">
        <v>803</v>
      </c>
      <c r="H14" s="253"/>
      <c r="I14" s="254" t="s">
        <v>16</v>
      </c>
      <c r="J14" s="566"/>
      <c r="K14" s="566"/>
      <c r="L14" s="566"/>
      <c r="M14" s="566"/>
      <c r="N14" s="566"/>
      <c r="O14" s="566"/>
      <c r="P14" s="566"/>
      <c r="Q14" s="255" t="s">
        <v>17</v>
      </c>
      <c r="R14" s="256" t="str">
        <f>IF(E14="■","←必須","")</f>
        <v/>
      </c>
      <c r="S14" s="319"/>
      <c r="T14" s="295" t="str">
        <f>IF(E14="■","020199","")</f>
        <v/>
      </c>
      <c r="U14" s="296"/>
      <c r="V14" s="300"/>
    </row>
    <row r="15" spans="1:23">
      <c r="A15" s="239"/>
      <c r="B15" s="188"/>
      <c r="C15" s="258">
        <v>4</v>
      </c>
      <c r="D15" s="259" t="s">
        <v>804</v>
      </c>
      <c r="E15" s="194" t="s">
        <v>638</v>
      </c>
      <c r="F15" s="260">
        <v>1</v>
      </c>
      <c r="G15" s="261" t="s">
        <v>805</v>
      </c>
      <c r="H15" s="262"/>
      <c r="I15" s="200" t="s">
        <v>638</v>
      </c>
      <c r="J15" s="263">
        <v>2</v>
      </c>
      <c r="K15" s="284" t="s">
        <v>806</v>
      </c>
      <c r="L15" s="265"/>
      <c r="M15" s="200" t="s">
        <v>638</v>
      </c>
      <c r="N15" s="263">
        <v>3</v>
      </c>
      <c r="O15" s="284" t="s">
        <v>807</v>
      </c>
      <c r="P15" s="265"/>
      <c r="Q15" s="267"/>
      <c r="R15" s="565"/>
      <c r="S15" s="319"/>
      <c r="T15" s="293" t="str">
        <f>IF(E15="■","020101","")</f>
        <v/>
      </c>
      <c r="U15" s="294" t="str">
        <f>IF(I15="■","020102","")</f>
        <v/>
      </c>
      <c r="V15" s="299" t="str">
        <f>IF(M15="■","020103","")</f>
        <v/>
      </c>
    </row>
    <row r="16" spans="1:23">
      <c r="A16" s="244"/>
      <c r="B16" s="257"/>
      <c r="C16" s="240"/>
      <c r="D16" s="230"/>
      <c r="E16" s="194" t="s">
        <v>638</v>
      </c>
      <c r="F16" s="241">
        <v>4</v>
      </c>
      <c r="G16" s="268" t="s">
        <v>808</v>
      </c>
      <c r="H16" s="227"/>
      <c r="I16" s="195"/>
      <c r="J16" s="233"/>
      <c r="K16" s="320"/>
      <c r="L16" s="235"/>
      <c r="M16" s="195"/>
      <c r="N16" s="233"/>
      <c r="O16" s="320"/>
      <c r="P16" s="235"/>
      <c r="Q16" s="236"/>
      <c r="R16" s="565"/>
      <c r="T16" s="293" t="str">
        <f>IF(E16="■","020104","")</f>
        <v/>
      </c>
      <c r="U16" s="294" t="str">
        <f>IF(I16="■","020105","")</f>
        <v/>
      </c>
      <c r="V16" s="299" t="str">
        <f>IF(M16="■","020106","")</f>
        <v/>
      </c>
    </row>
    <row r="17" spans="1:22">
      <c r="A17" s="244"/>
      <c r="B17" s="245"/>
      <c r="C17" s="240"/>
      <c r="D17" s="246"/>
      <c r="E17" s="194"/>
      <c r="F17" s="241"/>
      <c r="G17" s="232"/>
      <c r="H17" s="227"/>
      <c r="I17" s="195"/>
      <c r="J17" s="233"/>
      <c r="K17" s="234"/>
      <c r="L17" s="235"/>
      <c r="M17" s="195"/>
      <c r="N17" s="233"/>
      <c r="O17" s="320"/>
      <c r="P17" s="235"/>
      <c r="Q17" s="236"/>
      <c r="R17" s="317"/>
      <c r="T17" s="293"/>
      <c r="U17" s="294"/>
      <c r="V17" s="299"/>
    </row>
    <row r="18" spans="1:22" ht="14.25" customHeight="1">
      <c r="A18" s="244"/>
      <c r="B18" s="246"/>
      <c r="C18" s="250"/>
      <c r="D18" s="251"/>
      <c r="E18" s="199" t="s">
        <v>638</v>
      </c>
      <c r="F18" s="252">
        <v>99</v>
      </c>
      <c r="G18" s="274" t="s">
        <v>809</v>
      </c>
      <c r="H18" s="253"/>
      <c r="I18" s="254" t="s">
        <v>16</v>
      </c>
      <c r="J18" s="566"/>
      <c r="K18" s="566"/>
      <c r="L18" s="566"/>
      <c r="M18" s="566"/>
      <c r="N18" s="566"/>
      <c r="O18" s="566"/>
      <c r="P18" s="566"/>
      <c r="Q18" s="255" t="s">
        <v>17</v>
      </c>
      <c r="R18" s="256" t="str">
        <f>IF(E18="■","←必須","")</f>
        <v/>
      </c>
      <c r="S18" s="319"/>
      <c r="T18" s="295" t="str">
        <f>IF(E18="■","020199","")</f>
        <v/>
      </c>
      <c r="U18" s="296"/>
      <c r="V18" s="300"/>
    </row>
    <row r="19" spans="1:22">
      <c r="A19" s="239"/>
      <c r="B19" s="188"/>
      <c r="C19" s="258">
        <v>5</v>
      </c>
      <c r="D19" s="259" t="s">
        <v>715</v>
      </c>
      <c r="E19" s="194" t="s">
        <v>638</v>
      </c>
      <c r="F19" s="260">
        <v>1</v>
      </c>
      <c r="G19" s="261" t="s">
        <v>716</v>
      </c>
      <c r="H19" s="262"/>
      <c r="I19" s="200" t="s">
        <v>638</v>
      </c>
      <c r="J19" s="263">
        <v>2</v>
      </c>
      <c r="K19" s="284" t="s">
        <v>717</v>
      </c>
      <c r="L19" s="265"/>
      <c r="M19" s="200" t="s">
        <v>638</v>
      </c>
      <c r="N19" s="263">
        <v>3</v>
      </c>
      <c r="O19" s="284" t="s">
        <v>718</v>
      </c>
      <c r="P19" s="265"/>
      <c r="Q19" s="267"/>
      <c r="R19" s="565"/>
      <c r="S19" s="270"/>
      <c r="T19" s="293" t="str">
        <f>IF(E19="■","020101","")</f>
        <v/>
      </c>
      <c r="U19" s="294" t="str">
        <f>IF(I19="■","020102","")</f>
        <v/>
      </c>
      <c r="V19" s="299" t="str">
        <f>IF(M19="■","020103","")</f>
        <v/>
      </c>
    </row>
    <row r="20" spans="1:22">
      <c r="A20" s="244"/>
      <c r="B20" s="257"/>
      <c r="C20" s="240"/>
      <c r="D20" s="230"/>
      <c r="E20" s="194" t="s">
        <v>638</v>
      </c>
      <c r="F20" s="241">
        <v>4</v>
      </c>
      <c r="G20" s="268" t="s">
        <v>719</v>
      </c>
      <c r="H20" s="227"/>
      <c r="I20" s="195" t="s">
        <v>638</v>
      </c>
      <c r="J20" s="233">
        <v>5</v>
      </c>
      <c r="K20" s="272" t="s">
        <v>720</v>
      </c>
      <c r="L20" s="235"/>
      <c r="M20" s="195" t="s">
        <v>638</v>
      </c>
      <c r="N20" s="233">
        <v>6</v>
      </c>
      <c r="O20" s="272" t="s">
        <v>810</v>
      </c>
      <c r="P20" s="235"/>
      <c r="Q20" s="236"/>
      <c r="R20" s="565"/>
      <c r="T20" s="293" t="str">
        <f>IF(E20="■","020104","")</f>
        <v/>
      </c>
      <c r="U20" s="294" t="str">
        <f>IF(I20="■","020105","")</f>
        <v/>
      </c>
      <c r="V20" s="299" t="str">
        <f>IF(M20="■","020106","")</f>
        <v/>
      </c>
    </row>
    <row r="21" spans="1:22">
      <c r="A21" s="244"/>
      <c r="B21" s="245"/>
      <c r="C21" s="240"/>
      <c r="D21" s="246"/>
      <c r="E21" s="194" t="s">
        <v>638</v>
      </c>
      <c r="F21" s="241">
        <v>7</v>
      </c>
      <c r="G21" s="268" t="s">
        <v>811</v>
      </c>
      <c r="H21" s="227"/>
      <c r="I21" s="195" t="s">
        <v>638</v>
      </c>
      <c r="J21" s="233">
        <v>8</v>
      </c>
      <c r="K21" s="320" t="s">
        <v>812</v>
      </c>
      <c r="L21" s="235"/>
      <c r="M21" s="195" t="s">
        <v>638</v>
      </c>
      <c r="N21" s="233">
        <v>9</v>
      </c>
      <c r="O21" s="272" t="s">
        <v>813</v>
      </c>
      <c r="P21" s="235"/>
      <c r="Q21" s="236"/>
      <c r="R21" s="301"/>
      <c r="T21" s="293"/>
      <c r="U21" s="294"/>
      <c r="V21" s="299"/>
    </row>
    <row r="22" spans="1:22" ht="14.25" customHeight="1">
      <c r="A22" s="244"/>
      <c r="B22" s="246"/>
      <c r="C22" s="250"/>
      <c r="D22" s="251"/>
      <c r="E22" s="199" t="s">
        <v>638</v>
      </c>
      <c r="F22" s="252">
        <v>99</v>
      </c>
      <c r="G22" s="274" t="s">
        <v>721</v>
      </c>
      <c r="H22" s="253"/>
      <c r="I22" s="254" t="s">
        <v>16</v>
      </c>
      <c r="J22" s="566"/>
      <c r="K22" s="566"/>
      <c r="L22" s="566"/>
      <c r="M22" s="566"/>
      <c r="N22" s="566"/>
      <c r="O22" s="566"/>
      <c r="P22" s="566"/>
      <c r="Q22" s="255" t="s">
        <v>17</v>
      </c>
      <c r="R22" s="256" t="str">
        <f>IF(E22="■","←必須","")</f>
        <v/>
      </c>
      <c r="S22" s="270"/>
      <c r="T22" s="295" t="str">
        <f>IF(E22="■","020199","")</f>
        <v/>
      </c>
      <c r="U22" s="296"/>
      <c r="V22" s="300"/>
    </row>
    <row r="23" spans="1:22">
      <c r="A23" s="239"/>
      <c r="B23" s="302"/>
      <c r="C23" s="258">
        <v>6</v>
      </c>
      <c r="D23" s="259" t="s">
        <v>722</v>
      </c>
      <c r="E23" s="194" t="s">
        <v>638</v>
      </c>
      <c r="F23" s="260">
        <v>1</v>
      </c>
      <c r="G23" s="261" t="s">
        <v>723</v>
      </c>
      <c r="H23" s="262"/>
      <c r="I23" s="200" t="s">
        <v>638</v>
      </c>
      <c r="J23" s="263">
        <v>2</v>
      </c>
      <c r="K23" s="284" t="s">
        <v>724</v>
      </c>
      <c r="L23" s="265"/>
      <c r="M23" s="200" t="s">
        <v>638</v>
      </c>
      <c r="N23" s="263">
        <v>3</v>
      </c>
      <c r="O23" s="284" t="s">
        <v>725</v>
      </c>
      <c r="P23" s="265"/>
      <c r="Q23" s="267"/>
      <c r="R23" s="565"/>
      <c r="S23" s="270"/>
      <c r="T23" s="291" t="str">
        <f>IF(E23="■","030101","")</f>
        <v/>
      </c>
      <c r="U23" s="292" t="str">
        <f>IF(I23="■","030102","")</f>
        <v/>
      </c>
      <c r="V23" s="298" t="str">
        <f>IF(M23="■","030103","")</f>
        <v/>
      </c>
    </row>
    <row r="24" spans="1:22" s="243" customFormat="1">
      <c r="A24" s="244"/>
      <c r="B24" s="245"/>
      <c r="C24" s="240"/>
      <c r="D24" s="246"/>
      <c r="E24" s="194" t="s">
        <v>638</v>
      </c>
      <c r="F24" s="241">
        <v>4</v>
      </c>
      <c r="G24" s="268" t="s">
        <v>814</v>
      </c>
      <c r="H24" s="227"/>
      <c r="I24" s="195" t="s">
        <v>638</v>
      </c>
      <c r="J24" s="233">
        <v>5</v>
      </c>
      <c r="K24" s="320" t="s">
        <v>815</v>
      </c>
      <c r="L24" s="235"/>
      <c r="M24" s="195"/>
      <c r="N24" s="233"/>
      <c r="O24" s="320"/>
      <c r="P24" s="235"/>
      <c r="Q24" s="236"/>
      <c r="R24" s="565"/>
      <c r="S24" s="213"/>
      <c r="T24" s="293"/>
      <c r="U24" s="294" t="str">
        <f>IF(I24="■","030105","")</f>
        <v/>
      </c>
      <c r="V24" s="299"/>
    </row>
    <row r="25" spans="1:22" s="243" customFormat="1">
      <c r="A25" s="244"/>
      <c r="B25" s="245"/>
      <c r="C25" s="240"/>
      <c r="D25" s="246"/>
      <c r="E25" s="194"/>
      <c r="F25" s="241"/>
      <c r="G25" s="268"/>
      <c r="H25" s="227"/>
      <c r="I25" s="195"/>
      <c r="J25" s="233"/>
      <c r="K25" s="320"/>
      <c r="L25" s="235"/>
      <c r="M25" s="195"/>
      <c r="N25" s="233"/>
      <c r="O25" s="320"/>
      <c r="P25" s="235"/>
      <c r="Q25" s="236"/>
      <c r="R25" s="317"/>
      <c r="S25" s="213"/>
      <c r="T25" s="293"/>
      <c r="U25" s="294"/>
      <c r="V25" s="299"/>
    </row>
    <row r="26" spans="1:22" s="243" customFormat="1" ht="15.75" customHeight="1">
      <c r="A26" s="244"/>
      <c r="B26" s="245"/>
      <c r="C26" s="250"/>
      <c r="D26" s="251"/>
      <c r="E26" s="199" t="s">
        <v>638</v>
      </c>
      <c r="F26" s="252">
        <v>99</v>
      </c>
      <c r="G26" s="274" t="s">
        <v>726</v>
      </c>
      <c r="H26" s="253"/>
      <c r="I26" s="254" t="s">
        <v>16</v>
      </c>
      <c r="J26" s="566"/>
      <c r="K26" s="566"/>
      <c r="L26" s="566"/>
      <c r="M26" s="566"/>
      <c r="N26" s="566"/>
      <c r="O26" s="566"/>
      <c r="P26" s="566"/>
      <c r="Q26" s="255" t="s">
        <v>17</v>
      </c>
      <c r="R26" s="256" t="str">
        <f>IF(E26="■","←必須","")</f>
        <v/>
      </c>
      <c r="S26" s="270"/>
      <c r="T26" s="295" t="str">
        <f>IF(E26="■","030199","")</f>
        <v/>
      </c>
      <c r="U26" s="296"/>
      <c r="V26" s="300"/>
    </row>
    <row r="27" spans="1:22">
      <c r="A27" s="239"/>
      <c r="B27" s="318"/>
      <c r="C27" s="258">
        <v>7</v>
      </c>
      <c r="D27" s="259" t="s">
        <v>816</v>
      </c>
      <c r="E27" s="194" t="s">
        <v>638</v>
      </c>
      <c r="F27" s="260">
        <v>1</v>
      </c>
      <c r="G27" s="261" t="s">
        <v>817</v>
      </c>
      <c r="H27" s="262"/>
      <c r="I27" s="200" t="s">
        <v>638</v>
      </c>
      <c r="J27" s="263">
        <v>2</v>
      </c>
      <c r="K27" s="284" t="s">
        <v>818</v>
      </c>
      <c r="L27" s="265"/>
      <c r="M27" s="200" t="s">
        <v>638</v>
      </c>
      <c r="N27" s="263">
        <v>3</v>
      </c>
      <c r="O27" s="284" t="s">
        <v>819</v>
      </c>
      <c r="P27" s="265"/>
      <c r="Q27" s="267"/>
      <c r="R27" s="565"/>
      <c r="S27" s="319"/>
      <c r="T27" s="291" t="str">
        <f>IF(E27="■","030101","")</f>
        <v/>
      </c>
      <c r="U27" s="292" t="str">
        <f>IF(I27="■","030102","")</f>
        <v/>
      </c>
      <c r="V27" s="298" t="str">
        <f>IF(M27="■","030103","")</f>
        <v/>
      </c>
    </row>
    <row r="28" spans="1:22" s="243" customFormat="1">
      <c r="A28" s="244"/>
      <c r="B28" s="245"/>
      <c r="C28" s="240"/>
      <c r="D28" s="246"/>
      <c r="E28" s="194" t="s">
        <v>638</v>
      </c>
      <c r="F28" s="241">
        <v>4</v>
      </c>
      <c r="G28" s="268" t="s">
        <v>820</v>
      </c>
      <c r="H28" s="227"/>
      <c r="I28" s="195" t="s">
        <v>638</v>
      </c>
      <c r="J28" s="233">
        <v>5</v>
      </c>
      <c r="K28" s="320" t="s">
        <v>821</v>
      </c>
      <c r="L28" s="235"/>
      <c r="M28" s="195"/>
      <c r="N28" s="233"/>
      <c r="O28" s="320"/>
      <c r="P28" s="235"/>
      <c r="Q28" s="236"/>
      <c r="R28" s="565"/>
      <c r="S28" s="213"/>
      <c r="T28" s="293"/>
      <c r="U28" s="294" t="str">
        <f>IF(I28="■","030105","")</f>
        <v/>
      </c>
      <c r="V28" s="299"/>
    </row>
    <row r="29" spans="1:22" s="243" customFormat="1">
      <c r="A29" s="244"/>
      <c r="B29" s="245"/>
      <c r="C29" s="240"/>
      <c r="D29" s="246"/>
      <c r="E29" s="194"/>
      <c r="F29" s="241"/>
      <c r="G29" s="268"/>
      <c r="H29" s="227"/>
      <c r="I29" s="195"/>
      <c r="J29" s="233"/>
      <c r="K29" s="320"/>
      <c r="L29" s="235"/>
      <c r="M29" s="195"/>
      <c r="N29" s="233"/>
      <c r="O29" s="320"/>
      <c r="P29" s="235"/>
      <c r="Q29" s="236"/>
      <c r="R29" s="317"/>
      <c r="S29" s="213"/>
      <c r="T29" s="293"/>
      <c r="U29" s="294"/>
      <c r="V29" s="299"/>
    </row>
    <row r="30" spans="1:22" s="243" customFormat="1" ht="15.75" customHeight="1">
      <c r="A30" s="244"/>
      <c r="B30" s="245"/>
      <c r="C30" s="250"/>
      <c r="D30" s="251"/>
      <c r="E30" s="199" t="s">
        <v>638</v>
      </c>
      <c r="F30" s="252">
        <v>99</v>
      </c>
      <c r="G30" s="274" t="s">
        <v>822</v>
      </c>
      <c r="H30" s="253"/>
      <c r="I30" s="254" t="s">
        <v>16</v>
      </c>
      <c r="J30" s="566"/>
      <c r="K30" s="566"/>
      <c r="L30" s="566"/>
      <c r="M30" s="566"/>
      <c r="N30" s="566"/>
      <c r="O30" s="566"/>
      <c r="P30" s="566"/>
      <c r="Q30" s="255" t="s">
        <v>17</v>
      </c>
      <c r="R30" s="256" t="str">
        <f>IF(E30="■","←必須","")</f>
        <v/>
      </c>
      <c r="S30" s="319"/>
      <c r="T30" s="295" t="str">
        <f>IF(E30="■","030199","")</f>
        <v/>
      </c>
      <c r="U30" s="296"/>
      <c r="V30" s="300"/>
    </row>
    <row r="31" spans="1:22" s="243" customFormat="1" ht="14.25" customHeight="1">
      <c r="A31" s="244"/>
      <c r="B31" s="257"/>
      <c r="C31" s="258">
        <v>8</v>
      </c>
      <c r="D31" s="259" t="s">
        <v>727</v>
      </c>
      <c r="E31" s="194" t="s">
        <v>638</v>
      </c>
      <c r="F31" s="260">
        <v>1</v>
      </c>
      <c r="G31" s="261" t="s">
        <v>728</v>
      </c>
      <c r="H31" s="262"/>
      <c r="I31" s="200" t="s">
        <v>638</v>
      </c>
      <c r="J31" s="263">
        <v>2</v>
      </c>
      <c r="K31" s="284" t="s">
        <v>729</v>
      </c>
      <c r="L31" s="265"/>
      <c r="M31" s="200"/>
      <c r="N31" s="263"/>
      <c r="O31" s="266"/>
      <c r="P31" s="265"/>
      <c r="Q31" s="267"/>
      <c r="R31" s="565"/>
      <c r="S31" s="270"/>
      <c r="T31" s="291" t="str">
        <f>IF(E31="■","030201","")</f>
        <v/>
      </c>
      <c r="U31" s="292" t="str">
        <f>IF(I31="■","030202","")</f>
        <v/>
      </c>
      <c r="V31" s="298" t="str">
        <f>IF(M31="■","030203","")</f>
        <v/>
      </c>
    </row>
    <row r="32" spans="1:22" s="243" customFormat="1" ht="14.25" customHeight="1">
      <c r="A32" s="244"/>
      <c r="B32" s="257"/>
      <c r="C32" s="240"/>
      <c r="D32" s="230"/>
      <c r="E32" s="194"/>
      <c r="F32" s="241"/>
      <c r="G32" s="268"/>
      <c r="H32" s="227"/>
      <c r="I32" s="195"/>
      <c r="J32" s="233"/>
      <c r="K32" s="320"/>
      <c r="L32" s="235"/>
      <c r="M32" s="195"/>
      <c r="N32" s="233"/>
      <c r="O32" s="273"/>
      <c r="P32" s="235"/>
      <c r="Q32" s="236"/>
      <c r="R32" s="565"/>
      <c r="S32" s="319"/>
      <c r="T32" s="293"/>
      <c r="U32" s="294"/>
      <c r="V32" s="299"/>
    </row>
    <row r="33" spans="1:22" s="243" customFormat="1">
      <c r="A33" s="244"/>
      <c r="B33" s="245"/>
      <c r="C33" s="240"/>
      <c r="D33" s="246"/>
      <c r="E33" s="194"/>
      <c r="F33" s="241"/>
      <c r="G33" s="232"/>
      <c r="H33" s="227"/>
      <c r="I33" s="195"/>
      <c r="J33" s="233"/>
      <c r="K33" s="273"/>
      <c r="L33" s="235"/>
      <c r="M33" s="195"/>
      <c r="N33" s="233"/>
      <c r="O33" s="273"/>
      <c r="P33" s="235"/>
      <c r="Q33" s="236"/>
      <c r="R33" s="565"/>
      <c r="S33" s="213"/>
      <c r="T33" s="293" t="str">
        <f>IF(E33="■","030207","")</f>
        <v/>
      </c>
      <c r="U33" s="294" t="str">
        <f>IF(I33="■","030208","")</f>
        <v/>
      </c>
      <c r="V33" s="299" t="str">
        <f>IF(M33="■","030209","")</f>
        <v/>
      </c>
    </row>
    <row r="34" spans="1:22" s="243" customFormat="1" ht="17.25" customHeight="1">
      <c r="A34" s="244"/>
      <c r="B34" s="245"/>
      <c r="C34" s="250"/>
      <c r="D34" s="251"/>
      <c r="E34" s="199" t="s">
        <v>638</v>
      </c>
      <c r="F34" s="252">
        <v>99</v>
      </c>
      <c r="G34" s="274" t="s">
        <v>730</v>
      </c>
      <c r="H34" s="253"/>
      <c r="I34" s="254" t="s">
        <v>16</v>
      </c>
      <c r="J34" s="566"/>
      <c r="K34" s="566"/>
      <c r="L34" s="566"/>
      <c r="M34" s="566"/>
      <c r="N34" s="566"/>
      <c r="O34" s="566"/>
      <c r="P34" s="566"/>
      <c r="Q34" s="255" t="s">
        <v>17</v>
      </c>
      <c r="R34" s="256" t="str">
        <f>IF(E34="■","←必須","")</f>
        <v/>
      </c>
      <c r="S34" s="270"/>
      <c r="T34" s="295" t="str">
        <f>IF(E34="■","030299","")</f>
        <v/>
      </c>
      <c r="U34" s="296"/>
      <c r="V34" s="300"/>
    </row>
    <row r="35" spans="1:22" s="243" customFormat="1" ht="13.5" customHeight="1">
      <c r="A35" s="244"/>
      <c r="B35" s="257"/>
      <c r="C35" s="258">
        <v>9</v>
      </c>
      <c r="D35" s="259" t="s">
        <v>731</v>
      </c>
      <c r="E35" s="194" t="s">
        <v>638</v>
      </c>
      <c r="F35" s="260">
        <v>1</v>
      </c>
      <c r="G35" s="261" t="s">
        <v>732</v>
      </c>
      <c r="H35" s="262"/>
      <c r="I35" s="200" t="s">
        <v>638</v>
      </c>
      <c r="J35" s="263">
        <v>2</v>
      </c>
      <c r="K35" s="284" t="s">
        <v>733</v>
      </c>
      <c r="L35" s="265"/>
      <c r="M35" s="200"/>
      <c r="N35" s="263"/>
      <c r="O35" s="264"/>
      <c r="P35" s="265"/>
      <c r="Q35" s="267"/>
      <c r="R35" s="565"/>
      <c r="S35" s="270"/>
      <c r="T35" s="291" t="str">
        <f>IF(E35="■","030301","")</f>
        <v/>
      </c>
      <c r="U35" s="292" t="str">
        <f>IF(I35="■","030302","")</f>
        <v/>
      </c>
      <c r="V35" s="298" t="str">
        <f>IF(M35="■","030303","")</f>
        <v/>
      </c>
    </row>
    <row r="36" spans="1:22" s="243" customFormat="1" ht="13.5" customHeight="1">
      <c r="A36" s="244"/>
      <c r="B36" s="257"/>
      <c r="C36" s="240"/>
      <c r="D36" s="230"/>
      <c r="E36" s="194"/>
      <c r="F36" s="241"/>
      <c r="G36" s="268"/>
      <c r="H36" s="227"/>
      <c r="I36" s="195"/>
      <c r="J36" s="233"/>
      <c r="K36" s="320"/>
      <c r="L36" s="235"/>
      <c r="M36" s="195"/>
      <c r="N36" s="233"/>
      <c r="O36" s="234"/>
      <c r="P36" s="235"/>
      <c r="Q36" s="236"/>
      <c r="R36" s="565"/>
      <c r="S36" s="319"/>
      <c r="T36" s="293"/>
      <c r="U36" s="294"/>
      <c r="V36" s="299"/>
    </row>
    <row r="37" spans="1:22" s="243" customFormat="1">
      <c r="A37" s="244"/>
      <c r="B37" s="245"/>
      <c r="C37" s="240"/>
      <c r="D37" s="246"/>
      <c r="E37" s="275" t="b">
        <v>0</v>
      </c>
      <c r="F37" s="241"/>
      <c r="G37" s="232"/>
      <c r="H37" s="227"/>
      <c r="I37" s="269" t="b">
        <v>0</v>
      </c>
      <c r="J37" s="233"/>
      <c r="K37" s="234"/>
      <c r="L37" s="235"/>
      <c r="M37" s="249" t="b">
        <v>0</v>
      </c>
      <c r="N37" s="233"/>
      <c r="O37" s="234"/>
      <c r="P37" s="235"/>
      <c r="Q37" s="236"/>
      <c r="R37" s="565"/>
      <c r="S37" s="213"/>
      <c r="T37" s="293"/>
      <c r="U37" s="294"/>
      <c r="V37" s="299"/>
    </row>
    <row r="38" spans="1:22" s="243" customFormat="1" ht="15.75" customHeight="1">
      <c r="A38" s="244"/>
      <c r="B38" s="245"/>
      <c r="C38" s="250"/>
      <c r="D38" s="251"/>
      <c r="E38" s="199" t="s">
        <v>638</v>
      </c>
      <c r="F38" s="252">
        <v>99</v>
      </c>
      <c r="G38" s="274" t="s">
        <v>734</v>
      </c>
      <c r="H38" s="253"/>
      <c r="I38" s="254" t="s">
        <v>16</v>
      </c>
      <c r="J38" s="566"/>
      <c r="K38" s="566"/>
      <c r="L38" s="566"/>
      <c r="M38" s="566"/>
      <c r="N38" s="566"/>
      <c r="O38" s="566"/>
      <c r="P38" s="566"/>
      <c r="Q38" s="255" t="s">
        <v>17</v>
      </c>
      <c r="R38" s="256" t="str">
        <f>IF(E38="■","←必須","")</f>
        <v/>
      </c>
      <c r="S38" s="270"/>
      <c r="T38" s="295" t="str">
        <f>IF(E38="■","030399","")</f>
        <v/>
      </c>
      <c r="U38" s="296"/>
      <c r="V38" s="300"/>
    </row>
    <row r="39" spans="1:22" s="243" customFormat="1">
      <c r="A39" s="244"/>
      <c r="B39" s="257"/>
      <c r="C39" s="258">
        <v>10</v>
      </c>
      <c r="D39" s="259" t="s">
        <v>735</v>
      </c>
      <c r="E39" s="194" t="s">
        <v>638</v>
      </c>
      <c r="F39" s="260">
        <v>1</v>
      </c>
      <c r="G39" s="261" t="s">
        <v>736</v>
      </c>
      <c r="H39" s="262"/>
      <c r="I39" s="200" t="s">
        <v>638</v>
      </c>
      <c r="J39" s="263">
        <v>2</v>
      </c>
      <c r="K39" s="284" t="s">
        <v>737</v>
      </c>
      <c r="L39" s="265"/>
      <c r="M39" s="200" t="s">
        <v>638</v>
      </c>
      <c r="N39" s="263">
        <v>3</v>
      </c>
      <c r="O39" s="284" t="s">
        <v>738</v>
      </c>
      <c r="P39" s="265"/>
      <c r="Q39" s="267"/>
      <c r="R39" s="565"/>
      <c r="S39" s="270"/>
      <c r="T39" s="291" t="str">
        <f>IF(E39="■","030401","")</f>
        <v/>
      </c>
      <c r="U39" s="292" t="str">
        <f>IF(I39="■","030402","")</f>
        <v/>
      </c>
      <c r="V39" s="298"/>
    </row>
    <row r="40" spans="1:22" s="243" customFormat="1" ht="13.5" customHeight="1">
      <c r="A40" s="244"/>
      <c r="B40" s="257"/>
      <c r="C40" s="240"/>
      <c r="D40" s="230"/>
      <c r="E40" s="194" t="s">
        <v>638</v>
      </c>
      <c r="F40" s="241">
        <v>4</v>
      </c>
      <c r="G40" s="268" t="s">
        <v>823</v>
      </c>
      <c r="H40" s="227"/>
      <c r="I40" s="269" t="b">
        <v>0</v>
      </c>
      <c r="J40" s="233"/>
      <c r="K40" s="234"/>
      <c r="L40" s="235"/>
      <c r="M40" s="195"/>
      <c r="N40" s="233"/>
      <c r="O40" s="272"/>
      <c r="P40" s="235"/>
      <c r="Q40" s="236"/>
      <c r="R40" s="565"/>
      <c r="S40" s="213"/>
      <c r="T40" s="293"/>
      <c r="U40" s="294"/>
      <c r="V40" s="299"/>
    </row>
    <row r="41" spans="1:22" s="243" customFormat="1" ht="13.5" customHeight="1">
      <c r="A41" s="244"/>
      <c r="B41" s="257"/>
      <c r="C41" s="240"/>
      <c r="D41" s="230"/>
      <c r="E41" s="194"/>
      <c r="F41" s="241"/>
      <c r="G41" s="268"/>
      <c r="H41" s="227"/>
      <c r="I41" s="269"/>
      <c r="J41" s="233"/>
      <c r="K41" s="234"/>
      <c r="L41" s="235"/>
      <c r="M41" s="195"/>
      <c r="N41" s="233"/>
      <c r="O41" s="320"/>
      <c r="P41" s="235"/>
      <c r="Q41" s="236"/>
      <c r="R41" s="317"/>
      <c r="S41" s="213"/>
      <c r="T41" s="293"/>
      <c r="U41" s="294"/>
      <c r="V41" s="299"/>
    </row>
    <row r="42" spans="1:22" s="243" customFormat="1" ht="16.5" customHeight="1">
      <c r="A42" s="244"/>
      <c r="B42" s="245"/>
      <c r="C42" s="250"/>
      <c r="D42" s="251"/>
      <c r="E42" s="199" t="s">
        <v>638</v>
      </c>
      <c r="F42" s="252">
        <v>99</v>
      </c>
      <c r="G42" s="274" t="s">
        <v>739</v>
      </c>
      <c r="H42" s="253"/>
      <c r="I42" s="254" t="s">
        <v>16</v>
      </c>
      <c r="J42" s="566"/>
      <c r="K42" s="566"/>
      <c r="L42" s="566"/>
      <c r="M42" s="566"/>
      <c r="N42" s="566"/>
      <c r="O42" s="566"/>
      <c r="P42" s="566"/>
      <c r="Q42" s="255" t="s">
        <v>17</v>
      </c>
      <c r="R42" s="256" t="str">
        <f>IF(E42="■","←必須","")</f>
        <v/>
      </c>
      <c r="S42" s="270"/>
      <c r="T42" s="295" t="str">
        <f>IF(E42="■","030499","")</f>
        <v/>
      </c>
      <c r="U42" s="296"/>
      <c r="V42" s="300"/>
    </row>
    <row r="43" spans="1:22" s="243" customFormat="1">
      <c r="A43" s="239"/>
      <c r="B43" s="188"/>
      <c r="C43" s="258">
        <v>11</v>
      </c>
      <c r="D43" s="259" t="s">
        <v>740</v>
      </c>
      <c r="E43" s="194" t="s">
        <v>638</v>
      </c>
      <c r="F43" s="260">
        <v>1</v>
      </c>
      <c r="G43" s="261" t="s">
        <v>741</v>
      </c>
      <c r="H43" s="262"/>
      <c r="I43" s="200" t="s">
        <v>638</v>
      </c>
      <c r="J43" s="263">
        <v>2</v>
      </c>
      <c r="K43" s="284" t="s">
        <v>742</v>
      </c>
      <c r="L43" s="265"/>
      <c r="M43" s="200"/>
      <c r="N43" s="263"/>
      <c r="O43" s="264"/>
      <c r="P43" s="265"/>
      <c r="Q43" s="267"/>
      <c r="R43" s="565"/>
      <c r="S43" s="270"/>
      <c r="T43" s="291" t="str">
        <f>IF(E43="■","040101","")</f>
        <v/>
      </c>
      <c r="U43" s="292" t="str">
        <f>IF(I43="■","040102","")</f>
        <v/>
      </c>
      <c r="V43" s="298" t="str">
        <f>IF(M43="■","040103","")</f>
        <v/>
      </c>
    </row>
    <row r="44" spans="1:22" s="243" customFormat="1">
      <c r="A44" s="239"/>
      <c r="B44" s="696"/>
      <c r="C44" s="240"/>
      <c r="D44" s="230"/>
      <c r="E44" s="194"/>
      <c r="F44" s="241"/>
      <c r="G44" s="268"/>
      <c r="H44" s="227"/>
      <c r="I44" s="195"/>
      <c r="J44" s="233"/>
      <c r="K44" s="320"/>
      <c r="L44" s="235"/>
      <c r="M44" s="195"/>
      <c r="N44" s="233"/>
      <c r="O44" s="234"/>
      <c r="P44" s="235"/>
      <c r="Q44" s="236"/>
      <c r="R44" s="565"/>
      <c r="S44" s="319"/>
      <c r="T44" s="293"/>
      <c r="U44" s="294"/>
      <c r="V44" s="299"/>
    </row>
    <row r="45" spans="1:22" s="243" customFormat="1">
      <c r="A45" s="244"/>
      <c r="B45" s="245"/>
      <c r="C45" s="240"/>
      <c r="D45" s="246"/>
      <c r="E45" s="194"/>
      <c r="F45" s="241"/>
      <c r="G45" s="232"/>
      <c r="H45" s="227"/>
      <c r="I45" s="195"/>
      <c r="J45" s="233"/>
      <c r="K45" s="234"/>
      <c r="L45" s="235"/>
      <c r="M45" s="195"/>
      <c r="N45" s="233"/>
      <c r="O45" s="234"/>
      <c r="P45" s="235"/>
      <c r="Q45" s="236"/>
      <c r="R45" s="565"/>
      <c r="S45" s="213"/>
      <c r="T45" s="293" t="str">
        <f>IF(E45="■","040107","")</f>
        <v/>
      </c>
      <c r="U45" s="294" t="str">
        <f>IF(I45="■","040108","")</f>
        <v/>
      </c>
      <c r="V45" s="299" t="str">
        <f>IF(M45="■","040109","")</f>
        <v/>
      </c>
    </row>
    <row r="46" spans="1:22" s="243" customFormat="1">
      <c r="A46" s="244"/>
      <c r="B46" s="245"/>
      <c r="C46" s="250"/>
      <c r="D46" s="251"/>
      <c r="E46" s="199" t="s">
        <v>638</v>
      </c>
      <c r="F46" s="252">
        <v>99</v>
      </c>
      <c r="G46" s="274" t="s">
        <v>743</v>
      </c>
      <c r="H46" s="253"/>
      <c r="I46" s="254" t="s">
        <v>16</v>
      </c>
      <c r="J46" s="566"/>
      <c r="K46" s="566"/>
      <c r="L46" s="566"/>
      <c r="M46" s="566"/>
      <c r="N46" s="566"/>
      <c r="O46" s="566"/>
      <c r="P46" s="566"/>
      <c r="Q46" s="255" t="s">
        <v>17</v>
      </c>
      <c r="R46" s="256" t="str">
        <f>IF(E46="■","←必須","")</f>
        <v/>
      </c>
      <c r="S46" s="270"/>
      <c r="T46" s="295" t="str">
        <f>IF(E46="■","040199","")</f>
        <v/>
      </c>
      <c r="U46" s="296"/>
      <c r="V46" s="300"/>
    </row>
    <row r="47" spans="1:22" s="243" customFormat="1">
      <c r="A47" s="244"/>
      <c r="B47" s="257"/>
      <c r="C47" s="258">
        <v>12</v>
      </c>
      <c r="D47" s="259" t="s">
        <v>744</v>
      </c>
      <c r="E47" s="194" t="s">
        <v>638</v>
      </c>
      <c r="F47" s="260">
        <v>1</v>
      </c>
      <c r="G47" s="261" t="s">
        <v>745</v>
      </c>
      <c r="H47" s="262"/>
      <c r="I47" s="200" t="s">
        <v>638</v>
      </c>
      <c r="J47" s="263">
        <v>2</v>
      </c>
      <c r="K47" s="284" t="s">
        <v>746</v>
      </c>
      <c r="L47" s="265"/>
      <c r="M47" s="200" t="s">
        <v>638</v>
      </c>
      <c r="N47" s="263">
        <v>3</v>
      </c>
      <c r="O47" s="284" t="s">
        <v>747</v>
      </c>
      <c r="P47" s="265"/>
      <c r="Q47" s="267"/>
      <c r="R47" s="565"/>
      <c r="S47" s="270"/>
      <c r="T47" s="291" t="str">
        <f>IF(E47="■","040201","")</f>
        <v/>
      </c>
      <c r="U47" s="292" t="str">
        <f>IF(I47="■","040202","")</f>
        <v/>
      </c>
      <c r="V47" s="298" t="str">
        <f>IF(M47="■","040203","")</f>
        <v/>
      </c>
    </row>
    <row r="48" spans="1:22" s="243" customFormat="1">
      <c r="A48" s="244"/>
      <c r="B48" s="257"/>
      <c r="C48" s="240"/>
      <c r="D48" s="230"/>
      <c r="E48" s="194" t="s">
        <v>638</v>
      </c>
      <c r="F48" s="241">
        <v>4</v>
      </c>
      <c r="G48" s="268" t="s">
        <v>748</v>
      </c>
      <c r="H48" s="227"/>
      <c r="I48" s="195"/>
      <c r="J48" s="233"/>
      <c r="K48" s="234"/>
      <c r="L48" s="235"/>
      <c r="M48" s="195"/>
      <c r="N48" s="233"/>
      <c r="O48" s="567"/>
      <c r="P48" s="568"/>
      <c r="Q48" s="236"/>
      <c r="R48" s="565"/>
      <c r="S48" s="213"/>
      <c r="T48" s="293" t="str">
        <f>IF(E48="■","040204","")</f>
        <v/>
      </c>
      <c r="U48" s="294" t="str">
        <f>IF(I48="■","040205","")</f>
        <v/>
      </c>
      <c r="V48" s="299" t="str">
        <f>IF(M48="■","040206","")</f>
        <v/>
      </c>
    </row>
    <row r="49" spans="1:22" s="243" customFormat="1">
      <c r="A49" s="244"/>
      <c r="B49" s="245"/>
      <c r="C49" s="240"/>
      <c r="D49" s="246"/>
      <c r="E49" s="194"/>
      <c r="F49" s="241"/>
      <c r="G49" s="232"/>
      <c r="H49" s="227"/>
      <c r="I49" s="195"/>
      <c r="J49" s="233"/>
      <c r="K49" s="234"/>
      <c r="L49" s="235"/>
      <c r="M49" s="242"/>
      <c r="N49" s="233"/>
      <c r="O49" s="234"/>
      <c r="P49" s="235"/>
      <c r="Q49" s="236"/>
      <c r="R49" s="565"/>
      <c r="S49" s="213"/>
      <c r="T49" s="293" t="str">
        <f>IF(E49="■","040207","")</f>
        <v/>
      </c>
      <c r="U49" s="294" t="str">
        <f>IF(I49="■","040208","")</f>
        <v/>
      </c>
      <c r="V49" s="299"/>
    </row>
    <row r="50" spans="1:22" s="243" customFormat="1">
      <c r="A50" s="244"/>
      <c r="B50" s="245"/>
      <c r="C50" s="250"/>
      <c r="D50" s="251"/>
      <c r="E50" s="199" t="s">
        <v>638</v>
      </c>
      <c r="F50" s="252">
        <v>99</v>
      </c>
      <c r="G50" s="274" t="s">
        <v>749</v>
      </c>
      <c r="H50" s="253"/>
      <c r="I50" s="254" t="s">
        <v>16</v>
      </c>
      <c r="J50" s="566"/>
      <c r="K50" s="566"/>
      <c r="L50" s="566"/>
      <c r="M50" s="566"/>
      <c r="N50" s="566"/>
      <c r="O50" s="566"/>
      <c r="P50" s="566"/>
      <c r="Q50" s="255" t="s">
        <v>17</v>
      </c>
      <c r="R50" s="256" t="str">
        <f>IF(E50="■","←必須","")</f>
        <v/>
      </c>
      <c r="S50" s="270"/>
      <c r="T50" s="295" t="str">
        <f>IF(E50="■","040299","")</f>
        <v/>
      </c>
      <c r="U50" s="296"/>
      <c r="V50" s="300"/>
    </row>
    <row r="51" spans="1:22" s="243" customFormat="1">
      <c r="A51" s="244"/>
      <c r="B51" s="257"/>
      <c r="C51" s="258">
        <v>13</v>
      </c>
      <c r="D51" s="259" t="s">
        <v>825</v>
      </c>
      <c r="E51" s="194" t="s">
        <v>638</v>
      </c>
      <c r="F51" s="260">
        <v>1</v>
      </c>
      <c r="G51" s="261" t="s">
        <v>826</v>
      </c>
      <c r="H51" s="262"/>
      <c r="I51" s="200" t="s">
        <v>638</v>
      </c>
      <c r="J51" s="263">
        <v>2</v>
      </c>
      <c r="K51" s="284" t="s">
        <v>827</v>
      </c>
      <c r="L51" s="265"/>
      <c r="M51" s="200" t="s">
        <v>638</v>
      </c>
      <c r="N51" s="263">
        <v>3</v>
      </c>
      <c r="O51" s="284" t="s">
        <v>828</v>
      </c>
      <c r="P51" s="265"/>
      <c r="Q51" s="267"/>
      <c r="R51" s="565"/>
      <c r="S51" s="319"/>
      <c r="T51" s="291" t="str">
        <f>IF(E51="■","040201","")</f>
        <v/>
      </c>
      <c r="U51" s="292" t="str">
        <f>IF(I51="■","040202","")</f>
        <v/>
      </c>
      <c r="V51" s="298" t="str">
        <f>IF(M51="■","040203","")</f>
        <v/>
      </c>
    </row>
    <row r="52" spans="1:22" s="243" customFormat="1">
      <c r="A52" s="244"/>
      <c r="B52" s="257"/>
      <c r="C52" s="240"/>
      <c r="D52" s="230"/>
      <c r="E52" s="194" t="s">
        <v>638</v>
      </c>
      <c r="F52" s="241">
        <v>4</v>
      </c>
      <c r="G52" s="268" t="s">
        <v>829</v>
      </c>
      <c r="H52" s="227"/>
      <c r="I52" s="195" t="s">
        <v>638</v>
      </c>
      <c r="J52" s="233">
        <v>5</v>
      </c>
      <c r="K52" s="320" t="s">
        <v>830</v>
      </c>
      <c r="L52" s="235"/>
      <c r="M52" s="195"/>
      <c r="N52" s="233"/>
      <c r="O52" s="567"/>
      <c r="P52" s="568"/>
      <c r="Q52" s="236"/>
      <c r="R52" s="565"/>
      <c r="S52" s="213"/>
      <c r="T52" s="293" t="str">
        <f>IF(E52="■","040204","")</f>
        <v/>
      </c>
      <c r="U52" s="294" t="str">
        <f>IF(I52="■","040205","")</f>
        <v/>
      </c>
      <c r="V52" s="299" t="str">
        <f>IF(M52="■","040206","")</f>
        <v/>
      </c>
    </row>
    <row r="53" spans="1:22" s="243" customFormat="1">
      <c r="A53" s="244"/>
      <c r="B53" s="245"/>
      <c r="C53" s="240"/>
      <c r="D53" s="246"/>
      <c r="E53" s="194"/>
      <c r="F53" s="241"/>
      <c r="G53" s="232"/>
      <c r="H53" s="227"/>
      <c r="I53" s="195"/>
      <c r="J53" s="233"/>
      <c r="K53" s="234"/>
      <c r="L53" s="235"/>
      <c r="M53" s="242"/>
      <c r="N53" s="233"/>
      <c r="O53" s="234"/>
      <c r="P53" s="235"/>
      <c r="Q53" s="236"/>
      <c r="R53" s="565"/>
      <c r="S53" s="213"/>
      <c r="T53" s="293" t="str">
        <f>IF(E53="■","040207","")</f>
        <v/>
      </c>
      <c r="U53" s="294" t="str">
        <f>IF(I53="■","040208","")</f>
        <v/>
      </c>
      <c r="V53" s="299"/>
    </row>
    <row r="54" spans="1:22" s="243" customFormat="1">
      <c r="A54" s="244"/>
      <c r="B54" s="245"/>
      <c r="C54" s="250"/>
      <c r="D54" s="251"/>
      <c r="E54" s="199" t="s">
        <v>638</v>
      </c>
      <c r="F54" s="252">
        <v>99</v>
      </c>
      <c r="G54" s="274" t="s">
        <v>831</v>
      </c>
      <c r="H54" s="253"/>
      <c r="I54" s="254" t="s">
        <v>16</v>
      </c>
      <c r="J54" s="566"/>
      <c r="K54" s="566"/>
      <c r="L54" s="566"/>
      <c r="M54" s="566"/>
      <c r="N54" s="566"/>
      <c r="O54" s="566"/>
      <c r="P54" s="566"/>
      <c r="Q54" s="255" t="s">
        <v>17</v>
      </c>
      <c r="R54" s="256" t="str">
        <f>IF(E54="■","←必須","")</f>
        <v/>
      </c>
      <c r="S54" s="319"/>
      <c r="T54" s="295" t="str">
        <f>IF(E54="■","040299","")</f>
        <v/>
      </c>
      <c r="U54" s="296"/>
      <c r="V54" s="300"/>
    </row>
    <row r="55" spans="1:22" s="243" customFormat="1">
      <c r="A55" s="244"/>
      <c r="B55" s="257"/>
      <c r="C55" s="258">
        <v>14</v>
      </c>
      <c r="D55" s="259" t="s">
        <v>396</v>
      </c>
      <c r="E55" s="197" t="s">
        <v>638</v>
      </c>
      <c r="F55" s="260">
        <v>1</v>
      </c>
      <c r="G55" s="261" t="s">
        <v>750</v>
      </c>
      <c r="H55" s="262"/>
      <c r="I55" s="200" t="s">
        <v>638</v>
      </c>
      <c r="J55" s="263">
        <v>2</v>
      </c>
      <c r="K55" s="284" t="s">
        <v>751</v>
      </c>
      <c r="L55" s="265"/>
      <c r="M55" s="200" t="s">
        <v>638</v>
      </c>
      <c r="N55" s="263">
        <v>3</v>
      </c>
      <c r="O55" s="284" t="s">
        <v>752</v>
      </c>
      <c r="P55" s="265"/>
      <c r="Q55" s="267"/>
      <c r="R55" s="565"/>
      <c r="S55" s="270"/>
      <c r="T55" s="291" t="str">
        <f>IF(E55="■","091401","")</f>
        <v/>
      </c>
      <c r="U55" s="292" t="str">
        <f>IF(I55="■","091402","")</f>
        <v/>
      </c>
      <c r="V55" s="298"/>
    </row>
    <row r="56" spans="1:22" s="243" customFormat="1">
      <c r="A56" s="244"/>
      <c r="B56" s="257"/>
      <c r="C56" s="240"/>
      <c r="D56" s="230"/>
      <c r="E56" s="194" t="s">
        <v>638</v>
      </c>
      <c r="F56" s="241">
        <v>4</v>
      </c>
      <c r="G56" s="268" t="s">
        <v>753</v>
      </c>
      <c r="H56" s="227"/>
      <c r="I56" s="195" t="s">
        <v>638</v>
      </c>
      <c r="J56" s="233">
        <v>5</v>
      </c>
      <c r="K56" s="320" t="s">
        <v>796</v>
      </c>
      <c r="L56" s="622"/>
      <c r="M56" s="195" t="s">
        <v>638</v>
      </c>
      <c r="N56" s="233">
        <v>6</v>
      </c>
      <c r="O56" s="320" t="s">
        <v>797</v>
      </c>
      <c r="P56" s="235"/>
      <c r="Q56" s="236"/>
      <c r="R56" s="565"/>
      <c r="S56" s="271"/>
      <c r="T56" s="293"/>
      <c r="U56" s="294"/>
      <c r="V56" s="299"/>
    </row>
    <row r="57" spans="1:22" s="243" customFormat="1">
      <c r="A57" s="244"/>
      <c r="B57" s="245"/>
      <c r="C57" s="240"/>
      <c r="D57" s="246"/>
      <c r="E57" s="275" t="b">
        <v>0</v>
      </c>
      <c r="F57" s="241"/>
      <c r="G57" s="232"/>
      <c r="H57" s="227"/>
      <c r="I57" s="269" t="b">
        <v>0</v>
      </c>
      <c r="J57" s="233"/>
      <c r="K57" s="234"/>
      <c r="L57" s="235"/>
      <c r="M57" s="249" t="b">
        <v>0</v>
      </c>
      <c r="N57" s="233"/>
      <c r="O57" s="234"/>
      <c r="P57" s="235"/>
      <c r="Q57" s="236"/>
      <c r="R57" s="565"/>
      <c r="S57" s="271"/>
      <c r="T57" s="293"/>
      <c r="U57" s="294"/>
      <c r="V57" s="299"/>
    </row>
    <row r="58" spans="1:22" s="243" customFormat="1" ht="14.25" thickBot="1">
      <c r="A58" s="276"/>
      <c r="B58" s="277"/>
      <c r="C58" s="278"/>
      <c r="D58" s="279"/>
      <c r="E58" s="201" t="s">
        <v>638</v>
      </c>
      <c r="F58" s="280">
        <v>99</v>
      </c>
      <c r="G58" s="285" t="s">
        <v>19</v>
      </c>
      <c r="H58" s="281"/>
      <c r="I58" s="282" t="s">
        <v>16</v>
      </c>
      <c r="J58" s="564"/>
      <c r="K58" s="564"/>
      <c r="L58" s="564"/>
      <c r="M58" s="564"/>
      <c r="N58" s="564"/>
      <c r="O58" s="564"/>
      <c r="P58" s="564"/>
      <c r="Q58" s="283" t="s">
        <v>17</v>
      </c>
      <c r="R58" s="256" t="str">
        <f>IF(E58="■","←必須","")</f>
        <v/>
      </c>
      <c r="S58" s="270"/>
      <c r="T58" s="295" t="str">
        <f>IF(E58="■","091499","")</f>
        <v/>
      </c>
      <c r="U58" s="296"/>
      <c r="V58" s="300"/>
    </row>
    <row r="59" spans="1:22" s="243" customFormat="1">
      <c r="A59" s="271"/>
      <c r="B59" s="286"/>
      <c r="C59" s="213"/>
      <c r="D59" s="286"/>
      <c r="E59" s="213"/>
      <c r="F59" s="271"/>
      <c r="G59" s="286"/>
      <c r="H59" s="213"/>
      <c r="I59" s="213"/>
      <c r="J59" s="248"/>
      <c r="K59" s="287"/>
      <c r="L59" s="288"/>
      <c r="M59" s="288"/>
      <c r="N59" s="248"/>
      <c r="O59" s="287"/>
      <c r="P59" s="288"/>
      <c r="Q59" s="232"/>
      <c r="R59" s="270"/>
      <c r="S59" s="270"/>
      <c r="T59" s="297"/>
      <c r="U59" s="290"/>
      <c r="V59" s="290"/>
    </row>
  </sheetData>
  <sheetProtection selectLockedCells="1"/>
  <mergeCells count="32">
    <mergeCell ref="R11:R12"/>
    <mergeCell ref="J14:P14"/>
    <mergeCell ref="R15:R16"/>
    <mergeCell ref="J18:P18"/>
    <mergeCell ref="R27:R28"/>
    <mergeCell ref="J10:P10"/>
    <mergeCell ref="B3:B4"/>
    <mergeCell ref="R3:R5"/>
    <mergeCell ref="J6:P6"/>
    <mergeCell ref="S6:S7"/>
    <mergeCell ref="R7:R9"/>
    <mergeCell ref="R19:R20"/>
    <mergeCell ref="J22:P22"/>
    <mergeCell ref="R23:R24"/>
    <mergeCell ref="J26:P26"/>
    <mergeCell ref="R31:R33"/>
    <mergeCell ref="J30:P30"/>
    <mergeCell ref="J34:P34"/>
    <mergeCell ref="R35:R37"/>
    <mergeCell ref="J38:P38"/>
    <mergeCell ref="R39:R40"/>
    <mergeCell ref="J42:P42"/>
    <mergeCell ref="R55:R57"/>
    <mergeCell ref="J58:P58"/>
    <mergeCell ref="R43:R45"/>
    <mergeCell ref="J46:P46"/>
    <mergeCell ref="R47:R49"/>
    <mergeCell ref="O48:P48"/>
    <mergeCell ref="J50:P50"/>
    <mergeCell ref="R51:R53"/>
    <mergeCell ref="O52:P52"/>
    <mergeCell ref="J54:P54"/>
  </mergeCells>
  <phoneticPr fontId="2"/>
  <conditionalFormatting sqref="F3:F56">
    <cfRule type="expression" dxfId="50" priority="9" stopIfTrue="1">
      <formula>E3="■"</formula>
    </cfRule>
  </conditionalFormatting>
  <conditionalFormatting sqref="F58">
    <cfRule type="expression" dxfId="49" priority="14" stopIfTrue="1">
      <formula>E58="■"</formula>
    </cfRule>
  </conditionalFormatting>
  <conditionalFormatting sqref="I5">
    <cfRule type="expression" dxfId="48" priority="175" stopIfTrue="1">
      <formula>#REF!=TRUE</formula>
    </cfRule>
  </conditionalFormatting>
  <conditionalFormatting sqref="J3:J4 N3:N5 J7:J9 N7:N9 J19:J21 N19:N21 J31:J33 N31:N33 J35:J37 N35:N37 J39:J41 J43:J45 N43:N45 J23:J25 N23:N25">
    <cfRule type="expression" dxfId="47" priority="173" stopIfTrue="1">
      <formula>I3="■"</formula>
    </cfRule>
  </conditionalFormatting>
  <conditionalFormatting sqref="J47:J49">
    <cfRule type="expression" dxfId="46" priority="118" stopIfTrue="1">
      <formula>I47="■"</formula>
    </cfRule>
  </conditionalFormatting>
  <conditionalFormatting sqref="J55">
    <cfRule type="expression" dxfId="45" priority="16" stopIfTrue="1">
      <formula>I55="■"</formula>
    </cfRule>
  </conditionalFormatting>
  <conditionalFormatting sqref="J57 N57 F57">
    <cfRule type="expression" dxfId="44" priority="172" stopIfTrue="1">
      <formula>E57=TRUE</formula>
    </cfRule>
  </conditionalFormatting>
  <conditionalFormatting sqref="J6:P6">
    <cfRule type="cellIs" dxfId="43" priority="13" stopIfTrue="1" operator="notEqual">
      <formula>""</formula>
    </cfRule>
  </conditionalFormatting>
  <conditionalFormatting sqref="J10:P10">
    <cfRule type="cellIs" dxfId="42" priority="146" stopIfTrue="1" operator="notEqual">
      <formula>""</formula>
    </cfRule>
  </conditionalFormatting>
  <conditionalFormatting sqref="J22:P22">
    <cfRule type="cellIs" dxfId="41" priority="145" stopIfTrue="1" operator="notEqual">
      <formula>""</formula>
    </cfRule>
  </conditionalFormatting>
  <conditionalFormatting sqref="J26:P26 J30:P30">
    <cfRule type="cellIs" dxfId="40" priority="144" stopIfTrue="1" operator="notEqual">
      <formula>""</formula>
    </cfRule>
  </conditionalFormatting>
  <conditionalFormatting sqref="J34:P34">
    <cfRule type="cellIs" dxfId="39" priority="174" stopIfTrue="1" operator="notEqual">
      <formula>""</formula>
    </cfRule>
  </conditionalFormatting>
  <conditionalFormatting sqref="J38:P38">
    <cfRule type="cellIs" dxfId="38" priority="143" stopIfTrue="1" operator="notEqual">
      <formula>""</formula>
    </cfRule>
  </conditionalFormatting>
  <conditionalFormatting sqref="J42:P42">
    <cfRule type="cellIs" dxfId="37" priority="142" stopIfTrue="1" operator="notEqual">
      <formula>""</formula>
    </cfRule>
  </conditionalFormatting>
  <conditionalFormatting sqref="J46:P46">
    <cfRule type="cellIs" dxfId="36" priority="141" stopIfTrue="1" operator="notEqual">
      <formula>""</formula>
    </cfRule>
  </conditionalFormatting>
  <conditionalFormatting sqref="J50:P50 J54:P54">
    <cfRule type="cellIs" dxfId="35" priority="139" stopIfTrue="1" operator="notEqual">
      <formula>""</formula>
    </cfRule>
  </conditionalFormatting>
  <conditionalFormatting sqref="J58:P58">
    <cfRule type="cellIs" dxfId="34" priority="147" stopIfTrue="1" operator="notEqual">
      <formula>""</formula>
    </cfRule>
  </conditionalFormatting>
  <conditionalFormatting sqref="N39:N41">
    <cfRule type="expression" dxfId="33" priority="11" stopIfTrue="1">
      <formula>M39="■"</formula>
    </cfRule>
  </conditionalFormatting>
  <conditionalFormatting sqref="N47:N49">
    <cfRule type="expression" dxfId="32" priority="106" stopIfTrue="1">
      <formula>M47="■"</formula>
    </cfRule>
  </conditionalFormatting>
  <conditionalFormatting sqref="N55">
    <cfRule type="expression" dxfId="31" priority="10" stopIfTrue="1">
      <formula>M55="■"</formula>
    </cfRule>
  </conditionalFormatting>
  <conditionalFormatting sqref="J56">
    <cfRule type="expression" dxfId="30" priority="8" stopIfTrue="1">
      <formula>I56="■"</formula>
    </cfRule>
  </conditionalFormatting>
  <conditionalFormatting sqref="N56">
    <cfRule type="expression" dxfId="29" priority="7" stopIfTrue="1">
      <formula>M56="■"</formula>
    </cfRule>
  </conditionalFormatting>
  <conditionalFormatting sqref="J11:J13 N11:N13">
    <cfRule type="expression" dxfId="28" priority="6" stopIfTrue="1">
      <formula>I11="■"</formula>
    </cfRule>
  </conditionalFormatting>
  <conditionalFormatting sqref="J14:P14 J18:P18">
    <cfRule type="cellIs" dxfId="27" priority="5" stopIfTrue="1" operator="notEqual">
      <formula>""</formula>
    </cfRule>
  </conditionalFormatting>
  <conditionalFormatting sqref="J15:J17 N15:N17">
    <cfRule type="expression" dxfId="26" priority="4" stopIfTrue="1">
      <formula>I15="■"</formula>
    </cfRule>
  </conditionalFormatting>
  <conditionalFormatting sqref="J27:J29 N27:N29">
    <cfRule type="expression" dxfId="25" priority="3" stopIfTrue="1">
      <formula>I27="■"</formula>
    </cfRule>
  </conditionalFormatting>
  <conditionalFormatting sqref="J51:J53">
    <cfRule type="expression" dxfId="24" priority="2" stopIfTrue="1">
      <formula>I51="■"</formula>
    </cfRule>
  </conditionalFormatting>
  <conditionalFormatting sqref="N51:N53">
    <cfRule type="expression" dxfId="23" priority="1" stopIfTrue="1">
      <formula>M51="■"</formula>
    </cfRule>
  </conditionalFormatting>
  <dataValidations count="2">
    <dataValidation imeMode="on" allowBlank="1" showInputMessage="1" showErrorMessage="1" sqref="J6:P6 J18:P18 J22:P22 J34:P34 J38:P38 J46:P46 J42:P42 J30:P30 J58:P58 J10:P10 J14:P14 J26:P26 J50:P50 J54:P54" xr:uid="{33E195EE-BBE0-4CE0-965A-09BA2868D4B4}"/>
    <dataValidation type="list" allowBlank="1" showInputMessage="1" showErrorMessage="1" sqref="E3:E4 I55:I56 E58 I47:I49 M47:M48 I39 I35:I36 M35:M36 M23:M25 I23:I25 M3:M4 M7:M8 I7:I8 I3:I4 M55:M56 I19:I21 M19:M21 M31:M33 I31:I33 M39:M41 I43:I45 M43:M45 I27:I29 M11:M13 I11:I13 I15:I17 M15:M17 E6:E36 M27:M29 E38:E56 I51:I53 M51:M52" xr:uid="{A7356FE7-9666-4861-9379-719D2A4BD90C}">
      <formula1>$W$1:$W$2</formula1>
    </dataValidation>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82CE-8E2B-4657-9C5C-886B797DF7F4}">
  <dimension ref="A1:W7"/>
  <sheetViews>
    <sheetView showGridLines="0" view="pageBreakPreview" zoomScaleNormal="100" zoomScaleSheetLayoutView="100" workbookViewId="0">
      <selection activeCell="A10" sqref="A10:AC13"/>
    </sheetView>
  </sheetViews>
  <sheetFormatPr defaultColWidth="9" defaultRowHeight="13.5"/>
  <cols>
    <col min="1" max="1" width="2.75" style="271" customWidth="1"/>
    <col min="2" max="2" width="13.875" style="286" customWidth="1"/>
    <col min="3" max="3" width="2.875" style="213" customWidth="1"/>
    <col min="4" max="4" width="16.875" style="286" customWidth="1"/>
    <col min="5" max="5" width="2.75" style="213" customWidth="1"/>
    <col min="6" max="6" width="2.875" style="271" customWidth="1"/>
    <col min="7" max="7" width="16.125" style="286" customWidth="1"/>
    <col min="8" max="8" width="1.375" style="213" customWidth="1"/>
    <col min="9" max="9" width="2.875" style="213" customWidth="1"/>
    <col min="10" max="10" width="3" style="248" customWidth="1"/>
    <col min="11" max="11" width="16.125" style="287" customWidth="1"/>
    <col min="12" max="12" width="1.375" style="288" customWidth="1"/>
    <col min="13" max="13" width="2.875" style="288" customWidth="1"/>
    <col min="14" max="14" width="3" style="248" customWidth="1"/>
    <col min="15" max="15" width="16.125" style="287" customWidth="1"/>
    <col min="16" max="16" width="1.25" style="288" customWidth="1"/>
    <col min="17" max="17" width="1.25" style="286" customWidth="1"/>
    <col min="18" max="19" width="6.625" style="271" customWidth="1"/>
    <col min="20" max="20" width="7.25" style="297" customWidth="1"/>
    <col min="21" max="22" width="7.25" style="290" customWidth="1"/>
    <col min="23" max="23" width="0" style="243" hidden="1" customWidth="1"/>
    <col min="24" max="16384" width="9" style="213"/>
  </cols>
  <sheetData>
    <row r="1" spans="1:23">
      <c r="A1" s="202" t="s">
        <v>179</v>
      </c>
      <c r="B1" s="203"/>
      <c r="C1" s="204" t="s">
        <v>186</v>
      </c>
      <c r="D1" s="203"/>
      <c r="E1" s="205"/>
      <c r="F1" s="206"/>
      <c r="G1" s="207"/>
      <c r="H1" s="205"/>
      <c r="I1" s="205"/>
      <c r="J1" s="208"/>
      <c r="K1" s="209"/>
      <c r="L1" s="210"/>
      <c r="M1" s="210"/>
      <c r="N1" s="208"/>
      <c r="O1" s="209"/>
      <c r="P1" s="210"/>
      <c r="Q1" s="211"/>
      <c r="R1" s="212"/>
      <c r="S1" s="213"/>
      <c r="T1" s="290"/>
      <c r="W1" s="214" t="s">
        <v>636</v>
      </c>
    </row>
    <row r="2" spans="1:23" ht="24.75" customHeight="1" thickBot="1">
      <c r="A2" s="215" t="s">
        <v>508</v>
      </c>
      <c r="B2" s="216" t="s">
        <v>15</v>
      </c>
      <c r="C2" s="217" t="s">
        <v>508</v>
      </c>
      <c r="D2" s="218" t="s">
        <v>15</v>
      </c>
      <c r="E2" s="187" t="s">
        <v>755</v>
      </c>
      <c r="F2" s="219"/>
      <c r="G2" s="220"/>
      <c r="H2" s="221"/>
      <c r="I2" s="221"/>
      <c r="J2" s="222"/>
      <c r="K2" s="223"/>
      <c r="L2" s="224"/>
      <c r="M2" s="224"/>
      <c r="N2" s="222"/>
      <c r="O2" s="223"/>
      <c r="P2" s="224"/>
      <c r="Q2" s="225"/>
      <c r="R2" s="226"/>
      <c r="S2" s="227"/>
      <c r="T2" s="289" t="s">
        <v>613</v>
      </c>
      <c r="W2" s="214" t="s">
        <v>637</v>
      </c>
    </row>
    <row r="3" spans="1:23" ht="13.5" customHeight="1">
      <c r="A3" s="228">
        <v>11</v>
      </c>
      <c r="B3" s="569" t="s">
        <v>754</v>
      </c>
      <c r="C3" s="229">
        <v>1</v>
      </c>
      <c r="D3" s="230" t="s">
        <v>759</v>
      </c>
      <c r="E3" s="194" t="s">
        <v>638</v>
      </c>
      <c r="F3" s="231">
        <v>1</v>
      </c>
      <c r="G3" s="268" t="s">
        <v>756</v>
      </c>
      <c r="H3" s="227"/>
      <c r="I3" s="198" t="s">
        <v>638</v>
      </c>
      <c r="J3" s="233">
        <v>2</v>
      </c>
      <c r="K3" s="272" t="s">
        <v>757</v>
      </c>
      <c r="L3" s="235"/>
      <c r="M3" s="198" t="s">
        <v>638</v>
      </c>
      <c r="N3" s="233">
        <v>3</v>
      </c>
      <c r="O3" s="272" t="s">
        <v>758</v>
      </c>
      <c r="P3" s="235"/>
      <c r="Q3" s="236"/>
      <c r="R3" s="565"/>
      <c r="S3" s="237"/>
      <c r="T3" s="291" t="str">
        <f>IF(E3="■","010101","")</f>
        <v/>
      </c>
      <c r="U3" s="292" t="str">
        <f>IF(I3="■","010102","")</f>
        <v/>
      </c>
      <c r="V3" s="298" t="str">
        <f>IF(M3="■","010103","")</f>
        <v/>
      </c>
      <c r="W3" s="238"/>
    </row>
    <row r="4" spans="1:23">
      <c r="A4" s="239"/>
      <c r="B4" s="569"/>
      <c r="C4" s="240"/>
      <c r="D4" s="230"/>
      <c r="E4" s="194" t="s">
        <v>638</v>
      </c>
      <c r="F4" s="241">
        <v>4</v>
      </c>
      <c r="G4" s="268" t="s">
        <v>240</v>
      </c>
      <c r="H4" s="227"/>
      <c r="I4" s="195"/>
      <c r="J4" s="233"/>
      <c r="K4" s="272"/>
      <c r="L4" s="235"/>
      <c r="M4" s="195"/>
      <c r="N4" s="233"/>
      <c r="O4" s="234"/>
      <c r="P4" s="235"/>
      <c r="Q4" s="236"/>
      <c r="R4" s="565"/>
      <c r="S4" s="241"/>
      <c r="T4" s="293" t="str">
        <f>IF(E4="■","010104","")</f>
        <v/>
      </c>
      <c r="U4" s="294" t="str">
        <f>IF(I4="■","010105","")</f>
        <v/>
      </c>
      <c r="V4" s="299"/>
    </row>
    <row r="5" spans="1:23">
      <c r="A5" s="244"/>
      <c r="B5" s="245"/>
      <c r="C5" s="240"/>
      <c r="D5" s="246"/>
      <c r="E5" s="196"/>
      <c r="F5" s="241"/>
      <c r="G5" s="232"/>
      <c r="H5" s="227"/>
      <c r="I5" s="247"/>
      <c r="K5" s="234"/>
      <c r="L5" s="235"/>
      <c r="M5" s="249"/>
      <c r="N5" s="233"/>
      <c r="O5" s="234"/>
      <c r="P5" s="235"/>
      <c r="Q5" s="236"/>
      <c r="R5" s="565"/>
      <c r="S5" s="241"/>
      <c r="T5" s="293"/>
      <c r="U5" s="294"/>
      <c r="V5" s="299"/>
    </row>
    <row r="6" spans="1:23" s="243" customFormat="1" ht="14.25" thickBot="1">
      <c r="A6" s="276"/>
      <c r="B6" s="277"/>
      <c r="C6" s="278"/>
      <c r="D6" s="279"/>
      <c r="E6" s="201" t="s">
        <v>638</v>
      </c>
      <c r="F6" s="280">
        <v>99</v>
      </c>
      <c r="G6" s="189" t="s">
        <v>396</v>
      </c>
      <c r="H6" s="281"/>
      <c r="I6" s="282" t="s">
        <v>16</v>
      </c>
      <c r="J6" s="564"/>
      <c r="K6" s="564"/>
      <c r="L6" s="564"/>
      <c r="M6" s="564"/>
      <c r="N6" s="564"/>
      <c r="O6" s="564"/>
      <c r="P6" s="564"/>
      <c r="Q6" s="283" t="s">
        <v>17</v>
      </c>
      <c r="R6" s="256" t="str">
        <f>IF(E6="■","←必須","")</f>
        <v/>
      </c>
      <c r="S6" s="270"/>
      <c r="T6" s="295" t="str">
        <f>IF(E6="■","091499","")</f>
        <v/>
      </c>
      <c r="U6" s="296"/>
      <c r="V6" s="300"/>
    </row>
    <row r="7" spans="1:23" s="243" customFormat="1">
      <c r="A7" s="271"/>
      <c r="B7" s="286"/>
      <c r="C7" s="213"/>
      <c r="D7" s="286"/>
      <c r="E7" s="213"/>
      <c r="F7" s="271"/>
      <c r="G7" s="286"/>
      <c r="H7" s="213"/>
      <c r="I7" s="213"/>
      <c r="J7" s="248"/>
      <c r="K7" s="287"/>
      <c r="L7" s="288"/>
      <c r="M7" s="288"/>
      <c r="N7" s="248"/>
      <c r="O7" s="287"/>
      <c r="P7" s="288"/>
      <c r="Q7" s="232"/>
      <c r="R7" s="270"/>
      <c r="S7" s="270"/>
      <c r="T7" s="297"/>
      <c r="U7" s="290"/>
      <c r="V7" s="290"/>
    </row>
  </sheetData>
  <sheetProtection selectLockedCells="1"/>
  <mergeCells count="3">
    <mergeCell ref="J6:P6"/>
    <mergeCell ref="B3:B4"/>
    <mergeCell ref="R3:R5"/>
  </mergeCells>
  <phoneticPr fontId="2"/>
  <conditionalFormatting sqref="F3:F6">
    <cfRule type="expression" dxfId="22" priority="5" stopIfTrue="1">
      <formula>E3="■"</formula>
    </cfRule>
  </conditionalFormatting>
  <conditionalFormatting sqref="I5">
    <cfRule type="expression" dxfId="21" priority="23" stopIfTrue="1">
      <formula>#REF!=TRUE</formula>
    </cfRule>
  </conditionalFormatting>
  <conditionalFormatting sqref="J3:J4 N3:N5">
    <cfRule type="expression" dxfId="20" priority="21" stopIfTrue="1">
      <formula>I3="■"</formula>
    </cfRule>
  </conditionalFormatting>
  <conditionalFormatting sqref="J6:P6">
    <cfRule type="cellIs" dxfId="19" priority="19" stopIfTrue="1" operator="notEqual">
      <formula>""</formula>
    </cfRule>
  </conditionalFormatting>
  <dataValidations count="2">
    <dataValidation type="list" allowBlank="1" showInputMessage="1" showErrorMessage="1" sqref="E3:E4 E6 M3:M4 I3:I4" xr:uid="{306DE422-3A62-4D82-99BC-020D82D06947}">
      <formula1>$W$1:$W$2</formula1>
    </dataValidation>
    <dataValidation imeMode="on" allowBlank="1" showInputMessage="1" showErrorMessage="1" sqref="J6:P6" xr:uid="{66F2EB17-BA59-42C1-9E99-E58FEB2B3514}"/>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2E23-8049-4CDE-A065-7701688D18D7}">
  <dimension ref="A1:AL14"/>
  <sheetViews>
    <sheetView showGridLines="0" showZeros="0" zoomScaleNormal="100" workbookViewId="0">
      <selection activeCell="O17" sqref="O17"/>
    </sheetView>
  </sheetViews>
  <sheetFormatPr defaultColWidth="2.75" defaultRowHeight="13.5"/>
  <cols>
    <col min="1" max="6" width="2.75" style="179" customWidth="1"/>
    <col min="7" max="7" width="3.75" style="179" customWidth="1"/>
    <col min="8" max="31" width="2.75" style="179" customWidth="1"/>
    <col min="32" max="32" width="0.5" style="179" customWidth="1"/>
    <col min="33" max="33" width="2" style="179" customWidth="1"/>
    <col min="34" max="38" width="2.5" style="179" hidden="1" customWidth="1"/>
    <col min="39" max="41" width="2.5" style="179" customWidth="1"/>
    <col min="42" max="16384" width="2.75" style="179"/>
  </cols>
  <sheetData>
    <row r="1" spans="1:37">
      <c r="A1" s="175" t="s">
        <v>632</v>
      </c>
      <c r="B1" s="176"/>
      <c r="C1" s="177"/>
      <c r="D1" s="177"/>
      <c r="E1" s="177"/>
      <c r="F1" s="177"/>
      <c r="G1" s="177"/>
      <c r="H1" s="178"/>
      <c r="I1" s="177"/>
      <c r="J1" s="177"/>
      <c r="K1" s="177"/>
      <c r="L1" s="177"/>
      <c r="M1" s="177"/>
      <c r="N1" s="177"/>
      <c r="O1" s="177"/>
      <c r="P1" s="177"/>
      <c r="Q1" s="177" t="str">
        <f>IF(第１号様式!$H$21="","",第１号様式!$H$21)</f>
        <v/>
      </c>
      <c r="R1" s="177"/>
      <c r="S1" s="177"/>
      <c r="T1" s="177"/>
      <c r="U1" s="177"/>
      <c r="V1" s="177"/>
      <c r="W1" s="177"/>
      <c r="X1" s="177"/>
      <c r="Y1" s="177"/>
      <c r="Z1" s="177"/>
      <c r="AA1" s="177"/>
      <c r="AB1" s="177"/>
      <c r="AC1" s="177"/>
      <c r="AD1" s="177"/>
      <c r="AE1" s="177"/>
    </row>
    <row r="2" spans="1:37" ht="14.25" thickBot="1">
      <c r="A2" s="175"/>
      <c r="B2" s="176"/>
      <c r="C2" s="177"/>
      <c r="D2" s="177"/>
      <c r="E2" s="177"/>
      <c r="F2" s="177"/>
      <c r="G2" s="177"/>
      <c r="H2" s="176"/>
      <c r="I2" s="177"/>
      <c r="J2" s="177"/>
      <c r="K2" s="177"/>
      <c r="L2" s="177"/>
      <c r="M2" s="177"/>
      <c r="N2" s="177"/>
      <c r="O2" s="177"/>
      <c r="P2" s="177"/>
      <c r="Q2" s="177"/>
      <c r="R2" s="177"/>
      <c r="S2" s="177"/>
      <c r="T2" s="177"/>
      <c r="U2" s="177"/>
      <c r="V2" s="177"/>
      <c r="W2" s="177"/>
      <c r="X2" s="177"/>
      <c r="Y2" s="177"/>
      <c r="Z2" s="177"/>
      <c r="AA2" s="177"/>
      <c r="AB2" s="177"/>
      <c r="AC2" s="177"/>
      <c r="AD2" s="177"/>
      <c r="AE2" s="177"/>
      <c r="AI2" s="179" t="s">
        <v>614</v>
      </c>
      <c r="AJ2" s="179" t="s">
        <v>159</v>
      </c>
      <c r="AK2" s="179" t="s">
        <v>160</v>
      </c>
    </row>
    <row r="3" spans="1:37">
      <c r="A3" s="613" t="s">
        <v>615</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180"/>
      <c r="AD3" s="180"/>
      <c r="AE3" s="181"/>
      <c r="AI3" s="179" t="s">
        <v>616</v>
      </c>
      <c r="AJ3" s="179" t="s">
        <v>160</v>
      </c>
      <c r="AK3" s="179" t="s">
        <v>159</v>
      </c>
    </row>
    <row r="4" spans="1:37">
      <c r="A4" s="615"/>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182"/>
      <c r="AD4" s="182"/>
      <c r="AE4" s="183"/>
      <c r="AI4" s="179" t="s">
        <v>617</v>
      </c>
      <c r="AJ4" s="179" t="s">
        <v>159</v>
      </c>
      <c r="AK4" s="179" t="s">
        <v>160</v>
      </c>
    </row>
    <row r="5" spans="1:37" ht="20.100000000000001" customHeight="1">
      <c r="A5" s="577" t="s">
        <v>618</v>
      </c>
      <c r="B5" s="579"/>
      <c r="C5" s="580"/>
      <c r="D5" s="580"/>
      <c r="E5" s="580"/>
      <c r="F5" s="580"/>
      <c r="G5" s="581"/>
      <c r="H5" s="582" t="str">
        <f>IF(B5="","",VLOOKUP(B5,$AI$2:$AK$3,2,FALSE))</f>
        <v/>
      </c>
      <c r="I5" s="583"/>
      <c r="J5" s="583"/>
      <c r="K5" s="584"/>
      <c r="L5" s="582" t="str">
        <f>IF(B5="","",VLOOKUP(B5,$AI$2:$AK$3,3,FALSE))</f>
        <v/>
      </c>
      <c r="M5" s="583"/>
      <c r="N5" s="583"/>
      <c r="O5" s="584"/>
      <c r="P5" s="598" t="s">
        <v>689</v>
      </c>
      <c r="Q5" s="617"/>
      <c r="R5" s="617"/>
      <c r="S5" s="617"/>
      <c r="T5" s="617"/>
      <c r="U5" s="617"/>
      <c r="V5" s="617"/>
      <c r="W5" s="617"/>
      <c r="X5" s="617"/>
      <c r="Y5" s="617"/>
      <c r="Z5" s="617"/>
      <c r="AA5" s="617"/>
      <c r="AB5" s="617"/>
      <c r="AC5" s="617"/>
      <c r="AD5" s="617"/>
      <c r="AE5" s="618"/>
      <c r="AI5" s="179" t="s">
        <v>619</v>
      </c>
      <c r="AJ5" s="179" t="s">
        <v>160</v>
      </c>
      <c r="AK5" s="179" t="s">
        <v>159</v>
      </c>
    </row>
    <row r="6" spans="1:37" ht="14.25" customHeight="1">
      <c r="A6" s="572"/>
      <c r="B6" s="604" t="s">
        <v>620</v>
      </c>
      <c r="C6" s="605"/>
      <c r="D6" s="605"/>
      <c r="E6" s="605"/>
      <c r="F6" s="605"/>
      <c r="G6" s="606"/>
      <c r="H6" s="321"/>
      <c r="I6" s="322"/>
      <c r="J6" s="322"/>
      <c r="K6" s="323"/>
      <c r="L6" s="321"/>
      <c r="M6" s="322"/>
      <c r="N6" s="322"/>
      <c r="O6" s="323"/>
      <c r="P6" s="619"/>
      <c r="Q6" s="620"/>
      <c r="R6" s="620"/>
      <c r="S6" s="620"/>
      <c r="T6" s="620"/>
      <c r="U6" s="620"/>
      <c r="V6" s="620"/>
      <c r="W6" s="620"/>
      <c r="X6" s="620"/>
      <c r="Y6" s="620"/>
      <c r="Z6" s="620"/>
      <c r="AA6" s="620"/>
      <c r="AB6" s="620"/>
      <c r="AC6" s="620"/>
      <c r="AD6" s="620"/>
      <c r="AE6" s="621"/>
    </row>
    <row r="7" spans="1:37" ht="60" customHeight="1">
      <c r="A7" s="578"/>
      <c r="B7" s="607"/>
      <c r="C7" s="608"/>
      <c r="D7" s="608"/>
      <c r="E7" s="608"/>
      <c r="F7" s="608"/>
      <c r="G7" s="609"/>
      <c r="H7" s="591" t="s">
        <v>690</v>
      </c>
      <c r="I7" s="592"/>
      <c r="J7" s="592"/>
      <c r="K7" s="593"/>
      <c r="L7" s="591" t="s">
        <v>691</v>
      </c>
      <c r="M7" s="592"/>
      <c r="N7" s="592"/>
      <c r="O7" s="593"/>
      <c r="P7" s="610"/>
      <c r="Q7" s="611"/>
      <c r="R7" s="611"/>
      <c r="S7" s="611"/>
      <c r="T7" s="611"/>
      <c r="U7" s="611"/>
      <c r="V7" s="611"/>
      <c r="W7" s="611"/>
      <c r="X7" s="611"/>
      <c r="Y7" s="611"/>
      <c r="Z7" s="611"/>
      <c r="AA7" s="611"/>
      <c r="AB7" s="611"/>
      <c r="AC7" s="611"/>
      <c r="AD7" s="611"/>
      <c r="AE7" s="612"/>
      <c r="AI7" s="179" t="s">
        <v>621</v>
      </c>
      <c r="AJ7" s="179" t="s">
        <v>159</v>
      </c>
      <c r="AK7" s="179" t="s">
        <v>160</v>
      </c>
    </row>
    <row r="8" spans="1:37" ht="20.100000000000001" customHeight="1">
      <c r="A8" s="577" t="s">
        <v>622</v>
      </c>
      <c r="B8" s="579"/>
      <c r="C8" s="580"/>
      <c r="D8" s="580"/>
      <c r="E8" s="580"/>
      <c r="F8" s="580"/>
      <c r="G8" s="581"/>
      <c r="H8" s="582" t="str">
        <f>IF(B8="","",VLOOKUP(B8,$AI$2:$AK$3,2,FALSE))</f>
        <v/>
      </c>
      <c r="I8" s="583"/>
      <c r="J8" s="583"/>
      <c r="K8" s="584"/>
      <c r="L8" s="582" t="str">
        <f>IF(B8="","",VLOOKUP(B8,$AI$2:$AK$3,3,FALSE))</f>
        <v/>
      </c>
      <c r="M8" s="583"/>
      <c r="N8" s="583"/>
      <c r="O8" s="584"/>
      <c r="P8" s="598" t="s">
        <v>692</v>
      </c>
      <c r="Q8" s="599"/>
      <c r="R8" s="599"/>
      <c r="S8" s="599"/>
      <c r="T8" s="599"/>
      <c r="U8" s="599"/>
      <c r="V8" s="599"/>
      <c r="W8" s="599"/>
      <c r="X8" s="599"/>
      <c r="Y8" s="599"/>
      <c r="Z8" s="599"/>
      <c r="AA8" s="599"/>
      <c r="AB8" s="599"/>
      <c r="AC8" s="599"/>
      <c r="AD8" s="599"/>
      <c r="AE8" s="600"/>
      <c r="AI8" s="179" t="s">
        <v>623</v>
      </c>
      <c r="AJ8" s="179" t="s">
        <v>160</v>
      </c>
      <c r="AK8" s="179" t="s">
        <v>159</v>
      </c>
    </row>
    <row r="9" spans="1:37" ht="14.25" customHeight="1">
      <c r="A9" s="572"/>
      <c r="B9" s="604" t="s">
        <v>624</v>
      </c>
      <c r="C9" s="605"/>
      <c r="D9" s="605"/>
      <c r="E9" s="605"/>
      <c r="F9" s="605"/>
      <c r="G9" s="606"/>
      <c r="H9" s="321"/>
      <c r="I9" s="322"/>
      <c r="J9" s="322"/>
      <c r="K9" s="323"/>
      <c r="L9" s="321"/>
      <c r="M9" s="322"/>
      <c r="N9" s="322"/>
      <c r="O9" s="323"/>
      <c r="P9" s="601"/>
      <c r="Q9" s="602"/>
      <c r="R9" s="602"/>
      <c r="S9" s="602"/>
      <c r="T9" s="602"/>
      <c r="U9" s="602"/>
      <c r="V9" s="602"/>
      <c r="W9" s="602"/>
      <c r="X9" s="602"/>
      <c r="Y9" s="602"/>
      <c r="Z9" s="602"/>
      <c r="AA9" s="602"/>
      <c r="AB9" s="602"/>
      <c r="AC9" s="602"/>
      <c r="AD9" s="602"/>
      <c r="AE9" s="603"/>
    </row>
    <row r="10" spans="1:37" ht="60" customHeight="1">
      <c r="A10" s="578"/>
      <c r="B10" s="607"/>
      <c r="C10" s="608"/>
      <c r="D10" s="608"/>
      <c r="E10" s="608"/>
      <c r="F10" s="608"/>
      <c r="G10" s="609"/>
      <c r="H10" s="591" t="s">
        <v>690</v>
      </c>
      <c r="I10" s="592"/>
      <c r="J10" s="592"/>
      <c r="K10" s="593"/>
      <c r="L10" s="591" t="s">
        <v>691</v>
      </c>
      <c r="M10" s="592"/>
      <c r="N10" s="592"/>
      <c r="O10" s="593"/>
      <c r="P10" s="610"/>
      <c r="Q10" s="611"/>
      <c r="R10" s="611"/>
      <c r="S10" s="611"/>
      <c r="T10" s="611"/>
      <c r="U10" s="611"/>
      <c r="V10" s="611"/>
      <c r="W10" s="611"/>
      <c r="X10" s="611"/>
      <c r="Y10" s="611"/>
      <c r="Z10" s="611"/>
      <c r="AA10" s="611"/>
      <c r="AB10" s="611"/>
      <c r="AC10" s="611"/>
      <c r="AD10" s="611"/>
      <c r="AE10" s="612"/>
      <c r="AI10" s="179" t="s">
        <v>625</v>
      </c>
      <c r="AJ10" s="179" t="s">
        <v>626</v>
      </c>
      <c r="AK10" s="179" t="s">
        <v>160</v>
      </c>
    </row>
    <row r="11" spans="1:37" ht="20.100000000000001" customHeight="1">
      <c r="A11" s="577" t="s">
        <v>627</v>
      </c>
      <c r="B11" s="579"/>
      <c r="C11" s="580"/>
      <c r="D11" s="580"/>
      <c r="E11" s="580"/>
      <c r="F11" s="580"/>
      <c r="G11" s="581"/>
      <c r="H11" s="582" t="str">
        <f>IF(B11="","",VLOOKUP(B11,$AI$4:$AK$5,2,FALSE))</f>
        <v/>
      </c>
      <c r="I11" s="583"/>
      <c r="J11" s="583"/>
      <c r="K11" s="584"/>
      <c r="L11" s="582" t="str">
        <f>IF(B11="","",VLOOKUP(B11,$AI$4:$AK$5,3,FALSE))</f>
        <v/>
      </c>
      <c r="M11" s="583"/>
      <c r="N11" s="583"/>
      <c r="O11" s="584"/>
      <c r="P11" s="585"/>
      <c r="Q11" s="586"/>
      <c r="R11" s="586"/>
      <c r="S11" s="586"/>
      <c r="T11" s="586"/>
      <c r="U11" s="586"/>
      <c r="V11" s="586"/>
      <c r="W11" s="586"/>
      <c r="X11" s="586"/>
      <c r="Y11" s="586"/>
      <c r="Z11" s="586"/>
      <c r="AA11" s="586"/>
      <c r="AB11" s="586"/>
      <c r="AC11" s="586"/>
      <c r="AD11" s="586"/>
      <c r="AE11" s="587"/>
      <c r="AI11" s="179" t="s">
        <v>628</v>
      </c>
      <c r="AJ11" s="179" t="s">
        <v>160</v>
      </c>
      <c r="AK11" s="179" t="s">
        <v>626</v>
      </c>
    </row>
    <row r="12" spans="1:37" ht="60" customHeight="1">
      <c r="A12" s="594"/>
      <c r="B12" s="588" t="s">
        <v>629</v>
      </c>
      <c r="C12" s="589"/>
      <c r="D12" s="589"/>
      <c r="E12" s="589"/>
      <c r="F12" s="589"/>
      <c r="G12" s="590"/>
      <c r="H12" s="591" t="s">
        <v>693</v>
      </c>
      <c r="I12" s="592"/>
      <c r="J12" s="592"/>
      <c r="K12" s="593"/>
      <c r="L12" s="591" t="s">
        <v>694</v>
      </c>
      <c r="M12" s="592"/>
      <c r="N12" s="592"/>
      <c r="O12" s="593"/>
      <c r="P12" s="595"/>
      <c r="Q12" s="596"/>
      <c r="R12" s="596"/>
      <c r="S12" s="596"/>
      <c r="T12" s="596"/>
      <c r="U12" s="596"/>
      <c r="V12" s="596"/>
      <c r="W12" s="596"/>
      <c r="X12" s="596"/>
      <c r="Y12" s="596"/>
      <c r="Z12" s="596"/>
      <c r="AA12" s="596"/>
      <c r="AB12" s="596"/>
      <c r="AC12" s="596"/>
      <c r="AD12" s="596"/>
      <c r="AE12" s="597"/>
    </row>
    <row r="13" spans="1:37" ht="19.5" customHeight="1">
      <c r="A13" s="577" t="s">
        <v>630</v>
      </c>
      <c r="B13" s="579"/>
      <c r="C13" s="580"/>
      <c r="D13" s="580"/>
      <c r="E13" s="580"/>
      <c r="F13" s="580"/>
      <c r="G13" s="581"/>
      <c r="H13" s="582" t="str">
        <f>IF(B13="","",VLOOKUP(B13,AI7:AK8,2,FALSE))</f>
        <v/>
      </c>
      <c r="I13" s="583"/>
      <c r="J13" s="583"/>
      <c r="K13" s="584"/>
      <c r="L13" s="582" t="str">
        <f>IF(B13="","",VLOOKUP(B13,AI7:AK8,3,FALSE))</f>
        <v/>
      </c>
      <c r="M13" s="583"/>
      <c r="N13" s="583"/>
      <c r="O13" s="584"/>
      <c r="P13" s="585"/>
      <c r="Q13" s="586"/>
      <c r="R13" s="586"/>
      <c r="S13" s="586"/>
      <c r="T13" s="586"/>
      <c r="U13" s="586"/>
      <c r="V13" s="586"/>
      <c r="W13" s="586"/>
      <c r="X13" s="586"/>
      <c r="Y13" s="586"/>
      <c r="Z13" s="586"/>
      <c r="AA13" s="586"/>
      <c r="AB13" s="586"/>
      <c r="AC13" s="586"/>
      <c r="AD13" s="586"/>
      <c r="AE13" s="587"/>
    </row>
    <row r="14" spans="1:37" ht="60" customHeight="1" thickBot="1">
      <c r="A14" s="573"/>
      <c r="B14" s="697" t="s">
        <v>631</v>
      </c>
      <c r="C14" s="698"/>
      <c r="D14" s="698"/>
      <c r="E14" s="698"/>
      <c r="F14" s="698"/>
      <c r="G14" s="699"/>
      <c r="H14" s="574" t="s">
        <v>695</v>
      </c>
      <c r="I14" s="575"/>
      <c r="J14" s="575"/>
      <c r="K14" s="576"/>
      <c r="L14" s="574" t="s">
        <v>696</v>
      </c>
      <c r="M14" s="575"/>
      <c r="N14" s="575"/>
      <c r="O14" s="576"/>
      <c r="P14" s="700"/>
      <c r="Q14" s="701"/>
      <c r="R14" s="701"/>
      <c r="S14" s="701"/>
      <c r="T14" s="701"/>
      <c r="U14" s="701"/>
      <c r="V14" s="701"/>
      <c r="W14" s="701"/>
      <c r="X14" s="701"/>
      <c r="Y14" s="701"/>
      <c r="Z14" s="701"/>
      <c r="AA14" s="701"/>
      <c r="AB14" s="701"/>
      <c r="AC14" s="701"/>
      <c r="AD14" s="701"/>
      <c r="AE14" s="702"/>
    </row>
  </sheetData>
  <sheetProtection selectLockedCells="1"/>
  <mergeCells count="35">
    <mergeCell ref="A3:AB4"/>
    <mergeCell ref="A5:A7"/>
    <mergeCell ref="B5:G5"/>
    <mergeCell ref="H5:K5"/>
    <mergeCell ref="L5:O5"/>
    <mergeCell ref="P5:AE6"/>
    <mergeCell ref="B6:G7"/>
    <mergeCell ref="H7:K7"/>
    <mergeCell ref="L7:O7"/>
    <mergeCell ref="P7:AE7"/>
    <mergeCell ref="A8:A10"/>
    <mergeCell ref="B8:G8"/>
    <mergeCell ref="H8:K8"/>
    <mergeCell ref="L8:O8"/>
    <mergeCell ref="P8:AE9"/>
    <mergeCell ref="B9:G10"/>
    <mergeCell ref="H10:K10"/>
    <mergeCell ref="L10:O10"/>
    <mergeCell ref="P10:AE10"/>
    <mergeCell ref="A11:A12"/>
    <mergeCell ref="B11:G11"/>
    <mergeCell ref="H11:K11"/>
    <mergeCell ref="L11:O11"/>
    <mergeCell ref="P11:AE12"/>
    <mergeCell ref="B12:G12"/>
    <mergeCell ref="H12:K12"/>
    <mergeCell ref="L12:O12"/>
    <mergeCell ref="A13:A14"/>
    <mergeCell ref="B13:G13"/>
    <mergeCell ref="H13:K13"/>
    <mergeCell ref="L13:O13"/>
    <mergeCell ref="P13:AE14"/>
    <mergeCell ref="B14:G14"/>
    <mergeCell ref="H14:K14"/>
    <mergeCell ref="L14:O14"/>
  </mergeCells>
  <phoneticPr fontId="2"/>
  <conditionalFormatting sqref="A3">
    <cfRule type="expression" dxfId="18" priority="12" stopIfTrue="1">
      <formula>#REF!=1</formula>
    </cfRule>
    <cfRule type="expression" dxfId="17" priority="13" stopIfTrue="1">
      <formula>#REF!=2</formula>
    </cfRule>
  </conditionalFormatting>
  <conditionalFormatting sqref="A5:A6 A11 A13">
    <cfRule type="expression" dxfId="16" priority="14" stopIfTrue="1">
      <formula>#REF!=1</formula>
    </cfRule>
    <cfRule type="expression" dxfId="15" priority="15" stopIfTrue="1">
      <formula>#REF!=2</formula>
    </cfRule>
  </conditionalFormatting>
  <conditionalFormatting sqref="A8:A9">
    <cfRule type="expression" dxfId="14" priority="1" stopIfTrue="1">
      <formula>#REF!=1</formula>
    </cfRule>
    <cfRule type="expression" dxfId="13" priority="2" stopIfTrue="1">
      <formula>#REF!=2</formula>
    </cfRule>
  </conditionalFormatting>
  <conditionalFormatting sqref="H7:K7">
    <cfRule type="expression" dxfId="12" priority="17" stopIfTrue="1">
      <formula>$B$5="加入していない"</formula>
    </cfRule>
  </conditionalFormatting>
  <conditionalFormatting sqref="H10:K10">
    <cfRule type="expression" dxfId="11" priority="19" stopIfTrue="1">
      <formula>$B$8="加入していない"</formula>
    </cfRule>
  </conditionalFormatting>
  <conditionalFormatting sqref="H12:K12">
    <cfRule type="expression" dxfId="10" priority="21" stopIfTrue="1">
      <formula>$B$11="遵守していない"</formula>
    </cfRule>
  </conditionalFormatting>
  <conditionalFormatting sqref="H14:K14">
    <cfRule type="expression" dxfId="9" priority="23" stopIfTrue="1">
      <formula>$B$13="行っていない"</formula>
    </cfRule>
  </conditionalFormatting>
  <conditionalFormatting sqref="L7:O7">
    <cfRule type="expression" dxfId="8" priority="18" stopIfTrue="1">
      <formula>$B$5="加入している"</formula>
    </cfRule>
  </conditionalFormatting>
  <conditionalFormatting sqref="L10:O10">
    <cfRule type="expression" dxfId="7" priority="20" stopIfTrue="1">
      <formula>$B$8="加入している"</formula>
    </cfRule>
  </conditionalFormatting>
  <conditionalFormatting sqref="L12:O12">
    <cfRule type="expression" dxfId="6" priority="22" stopIfTrue="1">
      <formula>$B$11="遵守している"</formula>
    </cfRule>
  </conditionalFormatting>
  <conditionalFormatting sqref="L14:O14">
    <cfRule type="expression" dxfId="5" priority="24" stopIfTrue="1">
      <formula>$B$13="行っている"</formula>
    </cfRule>
  </conditionalFormatting>
  <conditionalFormatting sqref="P7 P10:AE10">
    <cfRule type="cellIs" dxfId="4" priority="16" stopIfTrue="1" operator="notEqual">
      <formula>""</formula>
    </cfRule>
  </conditionalFormatting>
  <conditionalFormatting sqref="AC4:AE4">
    <cfRule type="expression" dxfId="3" priority="8" stopIfTrue="1">
      <formula>#REF!=1</formula>
    </cfRule>
    <cfRule type="expression" dxfId="2" priority="9" stopIfTrue="1">
      <formula>#REF!=2</formula>
    </cfRule>
  </conditionalFormatting>
  <conditionalFormatting sqref="AD3:AE3">
    <cfRule type="expression" dxfId="1" priority="10" stopIfTrue="1">
      <formula>#REF!=1</formula>
    </cfRule>
    <cfRule type="expression" dxfId="0" priority="11" stopIfTrue="1">
      <formula>#REF!=2</formula>
    </cfRule>
  </conditionalFormatting>
  <dataValidations count="4">
    <dataValidation imeMode="hiragana" allowBlank="1" showInputMessage="1" showErrorMessage="1" sqref="P10:AE10 P7" xr:uid="{AFD3E693-2AB1-4D14-8B20-7A152E221A7B}"/>
    <dataValidation type="list" allowBlank="1" showErrorMessage="1" prompt="右のボタンから実施状況を選択してください。" sqref="B13:G13" xr:uid="{28E23382-F54F-4140-ABD0-57FE61AF38BF}">
      <formula1>$AI$7:$AI$8</formula1>
    </dataValidation>
    <dataValidation type="list" allowBlank="1" showErrorMessage="1" prompt="右のボタンから尊守状況を選択してください。" sqref="B11:G11" xr:uid="{55C4507A-E9DE-4CD0-8647-1944BAA83DBF}">
      <formula1>$AI$4:$AI$5</formula1>
    </dataValidation>
    <dataValidation type="list" allowBlank="1" showErrorMessage="1" prompt="右のボタンから加入状況を選択してください。" sqref="B5:G5 B8:G8" xr:uid="{ADC92954-8B33-4C5E-8316-077EE6EDF77E}">
      <formula1>$AI$2:$AI$3</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第１号様式</vt:lpstr>
      <vt:lpstr>別紙１</vt:lpstr>
      <vt:lpstr>別紙２</vt:lpstr>
      <vt:lpstr>別紙4-1（物品）</vt:lpstr>
      <vt:lpstr>別紙4-2（役務）</vt:lpstr>
      <vt:lpstr>別紙4-3（賃貸借）</vt:lpstr>
      <vt:lpstr>別紙５</vt:lpstr>
      <vt:lpstr>第１号様式!Print_Area</vt:lpstr>
      <vt:lpstr>別紙１!Print_Area</vt:lpstr>
      <vt:lpstr>別紙２!Print_Area</vt:lpstr>
      <vt:lpstr>'別紙4-1（物品）'!Print_Area</vt:lpstr>
      <vt:lpstr>'別紙4-2（役務）'!Print_Area</vt:lpstr>
      <vt:lpstr>'別紙4-3（賃貸借）'!Print_Area</vt:lpstr>
      <vt:lpstr>別紙５!Print_Area</vt:lpstr>
      <vt:lpstr>'別紙4-1（物品）'!Print_Titles</vt:lpstr>
      <vt:lpstr>'別紙4-2（役務）'!Print_Titles</vt:lpstr>
      <vt:lpstr>'別紙4-3（賃貸借）'!Print_Titles</vt:lpstr>
      <vt:lpstr>代理人</vt:lpstr>
      <vt:lpstr>代理人の有無</vt:lpstr>
      <vt:lpstr>代理人を置かない</vt:lpstr>
      <vt:lpstr>代理人を置く</vt:lpstr>
      <vt:lpstr>置かない</vt:lpstr>
      <vt:lpstr>置く</vt:lpstr>
      <vt:lpstr>第１号様式!中分類コード</vt:lpstr>
      <vt:lpstr>第１号様式!中分類コード表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大輔</dc:creator>
  <cp:lastModifiedBy>保坂 大輔</cp:lastModifiedBy>
  <cp:lastPrinted>2026-01-08T08:31:37Z</cp:lastPrinted>
  <dcterms:created xsi:type="dcterms:W3CDTF">2022-04-06T01:34:19Z</dcterms:created>
  <dcterms:modified xsi:type="dcterms:W3CDTF">2026-01-13T10:04:32Z</dcterms:modified>
</cp:coreProperties>
</file>